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marij\Documents\Marije's documenten\FDV\"/>
    </mc:Choice>
  </mc:AlternateContent>
  <xr:revisionPtr revIDLastSave="0" documentId="13_ncr:1_{35D2C54C-719D-4313-AA9E-F70472D02D9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kentool contract 1" sheetId="1" r:id="rId1"/>
    <sheet name="Rekentool contract 2" sheetId="4" r:id="rId2"/>
    <sheet name="Vergelijking contract 1 en 2" sheetId="5" r:id="rId3"/>
    <sheet name="Data Sheet" sheetId="2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aWt7TzuZmylEqI3jRG87WhRrAHU0KrIm0Gf2JRMGHRs="/>
    </ext>
  </extLst>
</workbook>
</file>

<file path=xl/calcChain.xml><?xml version="1.0" encoding="utf-8"?>
<calcChain xmlns="http://schemas.openxmlformats.org/spreadsheetml/2006/main">
  <c r="H46" i="5" l="1"/>
  <c r="H45" i="5"/>
  <c r="H44" i="5"/>
  <c r="H37" i="5"/>
  <c r="H35" i="5"/>
  <c r="H34" i="5"/>
  <c r="H33" i="5"/>
  <c r="H32" i="5"/>
  <c r="H31" i="5"/>
  <c r="H30" i="5"/>
  <c r="D35" i="5"/>
  <c r="D34" i="5" a="1"/>
  <c r="D34" i="5" s="1"/>
  <c r="D33" i="5" a="1"/>
  <c r="D33" i="5" s="1"/>
  <c r="D32" i="5" a="1"/>
  <c r="D32" i="5" s="1"/>
  <c r="D31" i="5"/>
  <c r="H25" i="5"/>
  <c r="H24" i="5"/>
  <c r="H23" i="5"/>
  <c r="H22" i="5"/>
  <c r="H21" i="5"/>
  <c r="H20" i="5"/>
  <c r="H19" i="5"/>
  <c r="H18" i="5"/>
  <c r="H17" i="5"/>
  <c r="H16" i="5"/>
  <c r="H12" i="5"/>
  <c r="H13" i="5" s="1"/>
  <c r="D25" i="5"/>
  <c r="D23" i="5"/>
  <c r="D21" i="5" a="1"/>
  <c r="D21" i="5" s="1"/>
  <c r="D20" i="5" a="1"/>
  <c r="D20" i="5" s="1"/>
  <c r="D19" i="5" a="1"/>
  <c r="D19" i="5" s="1"/>
  <c r="D18" i="5"/>
  <c r="D17" i="5"/>
  <c r="G76" i="4"/>
  <c r="G74" i="4"/>
  <c r="D59" i="4"/>
  <c r="D54" i="4"/>
  <c r="D55" i="4" s="1"/>
  <c r="D53" i="4"/>
  <c r="H49" i="4"/>
  <c r="H48" i="4"/>
  <c r="H50" i="4" s="1"/>
  <c r="D47" i="4"/>
  <c r="D46" i="4"/>
  <c r="H45" i="4"/>
  <c r="H44" i="4"/>
  <c r="D40" i="4"/>
  <c r="D39" i="4"/>
  <c r="H38" i="4"/>
  <c r="H37" i="4"/>
  <c r="D33" i="4"/>
  <c r="D32" i="4"/>
  <c r="H31" i="4"/>
  <c r="H30" i="4"/>
  <c r="B27" i="4"/>
  <c r="H21" i="4"/>
  <c r="H22" i="4" s="1"/>
  <c r="H15" i="4"/>
  <c r="E6" i="4"/>
  <c r="E4" i="4"/>
  <c r="H21" i="1"/>
  <c r="H22" i="1" s="1"/>
  <c r="E6" i="1"/>
  <c r="G52" i="5"/>
  <c r="G50" i="5"/>
  <c r="E6" i="5"/>
  <c r="E4" i="5"/>
  <c r="G76" i="1"/>
  <c r="G74" i="1"/>
  <c r="D53" i="1"/>
  <c r="D59" i="1"/>
  <c r="H15" i="1"/>
  <c r="H48" i="1"/>
  <c r="H49" i="1"/>
  <c r="D54" i="1"/>
  <c r="D55" i="1" s="1"/>
  <c r="D47" i="1"/>
  <c r="D46" i="1"/>
  <c r="H45" i="1"/>
  <c r="H44" i="1"/>
  <c r="H38" i="1"/>
  <c r="H37" i="1"/>
  <c r="H31" i="1"/>
  <c r="H30" i="1"/>
  <c r="D40" i="1"/>
  <c r="D39" i="1"/>
  <c r="D33" i="1"/>
  <c r="D16" i="5" s="1" a="1"/>
  <c r="D16" i="5" s="1"/>
  <c r="D32" i="1"/>
  <c r="D30" i="5" s="1" a="1"/>
  <c r="D30" i="5" s="1"/>
  <c r="D37" i="5" s="1"/>
  <c r="D45" i="5" s="1"/>
  <c r="E4" i="1"/>
  <c r="B27" i="1"/>
  <c r="H14" i="1" l="1"/>
  <c r="H63" i="1" s="1"/>
  <c r="D68" i="1"/>
  <c r="H27" i="5"/>
  <c r="D15" i="4"/>
  <c r="D16" i="4" s="1"/>
  <c r="H58" i="4"/>
  <c r="D69" i="4" s="1"/>
  <c r="H12" i="4"/>
  <c r="D68" i="4"/>
  <c r="H69" i="4" s="1"/>
  <c r="H13" i="4"/>
  <c r="H14" i="4"/>
  <c r="H54" i="1"/>
  <c r="D24" i="5" s="1"/>
  <c r="H50" i="1"/>
  <c r="H51" i="1" s="1"/>
  <c r="D22" i="5" s="1"/>
  <c r="H58" i="1"/>
  <c r="D69" i="1" s="1"/>
  <c r="H64" i="1" l="1"/>
  <c r="D63" i="1"/>
  <c r="D64" i="1"/>
  <c r="D65" i="1" s="1"/>
  <c r="H54" i="4"/>
  <c r="H63" i="4"/>
  <c r="H51" i="4"/>
  <c r="H57" i="4" s="1"/>
  <c r="D70" i="4" s="1"/>
  <c r="H70" i="4" s="1"/>
  <c r="H69" i="1"/>
  <c r="H57" i="1"/>
  <c r="D70" i="1" s="1"/>
  <c r="H12" i="1"/>
  <c r="D12" i="5" s="1"/>
  <c r="H13" i="1"/>
  <c r="D13" i="5" l="1"/>
  <c r="D44" i="5" s="1"/>
  <c r="H70" i="1"/>
  <c r="D27" i="5" a="1"/>
  <c r="D27" i="5" s="1"/>
  <c r="D46" i="5" s="1"/>
  <c r="H64" i="4"/>
  <c r="D64" i="4"/>
  <c r="D63" i="4"/>
  <c r="D15" i="1"/>
  <c r="D16" i="1" s="1"/>
  <c r="D65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<sst xmlns="http://schemas.openxmlformats.org/spreadsheetml/2006/main" count="316" uniqueCount="121">
  <si>
    <t>Bruto jaarloon (incl. vakantiegeld)</t>
  </si>
  <si>
    <t>Bruto maandloon (excl. vakantiegeld)</t>
  </si>
  <si>
    <t>Bruto maandloon (incl. vakantiegeld)</t>
  </si>
  <si>
    <t>Salaris</t>
  </si>
  <si>
    <t>Bruto jaarsalaris</t>
  </si>
  <si>
    <t>Automatisch berekend</t>
  </si>
  <si>
    <t>Vakantiegeld</t>
  </si>
  <si>
    <t>Totaal bruto jaarsalaris</t>
  </si>
  <si>
    <t>Gewerkte uren</t>
  </si>
  <si>
    <t>Uren volgens contract per maand</t>
  </si>
  <si>
    <t>Aantal uren volgens contract per jaar</t>
  </si>
  <si>
    <t>Aantal uren volgens contract per week</t>
  </si>
  <si>
    <t>aantal overuren per week</t>
  </si>
  <si>
    <t>aantal overuren per jaar</t>
  </si>
  <si>
    <t>aantal overuren per maand</t>
  </si>
  <si>
    <t>Aantal werkdagen per week</t>
  </si>
  <si>
    <t>Benodigde informatie</t>
  </si>
  <si>
    <t>Weken vakantie per jaar</t>
  </si>
  <si>
    <t>Pensioenpremie per maand</t>
  </si>
  <si>
    <t>Pensioenpremie per jaar</t>
  </si>
  <si>
    <t>Eigen kosten pensioen per jaar</t>
  </si>
  <si>
    <t>Premiepercentage werkgever (procenten)</t>
  </si>
  <si>
    <t>Vul onderstaande in (indien van toepassing)</t>
  </si>
  <si>
    <t>Kosten kwaliteitsregister</t>
  </si>
  <si>
    <t>Eigen kosten kwaliteitsregister per jaar</t>
  </si>
  <si>
    <t>Eigen kosten BIG-registratie per jaar</t>
  </si>
  <si>
    <t>Kosten BIG-registratie per 5 jaar</t>
  </si>
  <si>
    <t>Vergoeding werkgever (procenten)</t>
  </si>
  <si>
    <t>Kosten KNGF lidmaatschap</t>
  </si>
  <si>
    <t>Kosten lidmaatschap Fysiovakbond FDV</t>
  </si>
  <si>
    <t>Eigen kosten KNGF per jaar</t>
  </si>
  <si>
    <t>Eigen kosten Fysiovakbond FDV per jaar</t>
  </si>
  <si>
    <t>Kosten scholing per jaar</t>
  </si>
  <si>
    <t>Eigen kosten scholing</t>
  </si>
  <si>
    <t>Ja</t>
  </si>
  <si>
    <t>Overuren meegerekend</t>
  </si>
  <si>
    <t>Nee</t>
  </si>
  <si>
    <t>Automatisch berekend na invullen gewerkte uren</t>
  </si>
  <si>
    <t>Jaarsalaris</t>
  </si>
  <si>
    <t>Kies onderstaande welke je weet (drop down menu)</t>
  </si>
  <si>
    <t>Bruto uurloon excl. vakantiegeld (berekent jaarsalaris na invullen contracturen onder kopje gewerkte uren)</t>
  </si>
  <si>
    <t>Bruto uurloon incl. vakantiegeld (berekent jaarsalaris na invullen contracturen onder kopje gewerkte uren)</t>
  </si>
  <si>
    <t>Bruto uurloon incl. vakantiegeld</t>
  </si>
  <si>
    <t>Bruto uurloon excl. vakantiegeld</t>
  </si>
  <si>
    <t>uren volgens contract</t>
  </si>
  <si>
    <t>overuren</t>
  </si>
  <si>
    <t>pensioen</t>
  </si>
  <si>
    <t>Je hoeft alleen de witte cellen in te vullen, en de drop down menu's te kiezen (groene velden). Als kosten niet van toepassing zijn, laat het veld dan leeg.</t>
  </si>
  <si>
    <t>Voorbeeld: pensioenpremie weet je per maand, dan klik je op 'pensioenpremie per maand', je werkgever geeft 50% vergoeding, dus je vult bij premiepercentage 50% in.</t>
  </si>
  <si>
    <t>Deze rekentool is bedoeld als hulpmiddel. Er kan geen enkel recht aan worden ontleend.</t>
  </si>
  <si>
    <t>Rekentool financiële waarde arbeidsvoorwaarden</t>
  </si>
  <si>
    <t>Wil je je arbeidsvoorwaarden vergelijken?</t>
  </si>
  <si>
    <t>Of bekijk het onderzoeksrapport</t>
  </si>
  <si>
    <t>Met deze tool bereken je wat de financiële waarde is van</t>
  </si>
  <si>
    <t>jouw arbeidsvoorwaarden.</t>
  </si>
  <si>
    <t>Arbeidsvoorwaarden</t>
  </si>
  <si>
    <t>Kosten werkgever per jaar</t>
  </si>
  <si>
    <t>Scholingskosten werkgever per jaar</t>
  </si>
  <si>
    <t>Kosten werkgever KNGF per jaar</t>
  </si>
  <si>
    <t>Kosten werkgever Fysiovakbond FDV per jaar</t>
  </si>
  <si>
    <t>Kosten werkgever kwaliteitsregister per jaar</t>
  </si>
  <si>
    <t>Reiskostenvergoeding werkgever per jaar</t>
  </si>
  <si>
    <t>Vergoeding werkgever (bedrag per km in €)</t>
  </si>
  <si>
    <t>Totaal aantal gereisde km per jaar woon-werk</t>
  </si>
  <si>
    <t>Totaal aantal vergoede km per jaar woon-werk</t>
  </si>
  <si>
    <t>Reisafstand per dag (in km, enkele reis)</t>
  </si>
  <si>
    <t>Maximaal vergoede reisafstand per dag (in km, enkele reis)</t>
  </si>
  <si>
    <t>Dagen vakantie per jaar</t>
  </si>
  <si>
    <t>Wettelijke vakantiedagen</t>
  </si>
  <si>
    <t>Waarde extra vakantiedagen</t>
  </si>
  <si>
    <t>Extra vakantiedagen (bovenwettelijk)</t>
  </si>
  <si>
    <t>Vakantiedagen per jaar</t>
  </si>
  <si>
    <t>Gemist inkomen per wachtdag</t>
  </si>
  <si>
    <t>Loonverschil per dag ziekte 70% vs. 100%</t>
  </si>
  <si>
    <t xml:space="preserve">De waarde voor wachtdagen en ziekte is niet makkelijk uit te drukken en worden dus niet meegenomen in deze berekening. Het hangt er namelijk vanaf hoe lang je ziek bent. </t>
  </si>
  <si>
    <t>Inkomen met 2 wachtdagen en 70% loondoorbetaling bij 1 ziekteweek</t>
  </si>
  <si>
    <t>Inkomen met 0 wachtdagen en 100% loondoorbetaling bij 1 ziekteweek</t>
  </si>
  <si>
    <t>Verschil in euro's</t>
  </si>
  <si>
    <t>Vergelijking met jaarsalaris</t>
  </si>
  <si>
    <t>Totaal eigen kosten per jaar*</t>
  </si>
  <si>
    <t>* = eigen reiskosten zijn niet meegenomen in dit bedrag, omdat dit erg afhangt van het vervoersmiddel waar je mee reist.</t>
  </si>
  <si>
    <t>Totale financiële waarde secundaire arbeidsvoorwaarden</t>
  </si>
  <si>
    <t>Eindejaarsuitkering in procenten</t>
  </si>
  <si>
    <t>Totaal bedrag eindejaarsuitkering</t>
  </si>
  <si>
    <t>Totaal overige vergoedingen</t>
  </si>
  <si>
    <t xml:space="preserve">Wel kun je hieronder een rekenvoorbeeld terugvinden. Dit voorbeeld gaat uit van 1 week aaneengesloten ziekte in dit jaar. </t>
  </si>
  <si>
    <t>Onderstaande is ingevuld met voorbeeldgetallen. Je kunt de witte vlakken zelf aanpassen.</t>
  </si>
  <si>
    <t>Overige vergoedingen per maand*</t>
  </si>
  <si>
    <t>Overige vergoedingen per jaar*</t>
  </si>
  <si>
    <t>* = denk aan een vergoeding voor telefoon, fiets, sportabonnement of andere vergoedingen.</t>
  </si>
  <si>
    <t>Vul daarvoor eerst tabblad 1 en tabblad 2 in met de verschillende contracten.</t>
  </si>
  <si>
    <t>Daarna zie je de vergelijking op tabblad 3.</t>
  </si>
  <si>
    <t>Financiële waarde secundaire arbeidsvoorwaarden</t>
  </si>
  <si>
    <t>Bedragen hiernaast in percentage van jouw jaarsalaris</t>
  </si>
  <si>
    <t>Eigen kosten per jaar</t>
  </si>
  <si>
    <t>Totaal aantal uren</t>
  </si>
  <si>
    <t>Na het invullen van tabblad 1 en  2 kun je hier de vergelijking zien.</t>
  </si>
  <si>
    <t>Contract 1</t>
  </si>
  <si>
    <t>Contract 2</t>
  </si>
  <si>
    <t>Eindejaarsuitkering</t>
  </si>
  <si>
    <t>Pensioen</t>
  </si>
  <si>
    <t>Reiskosten</t>
  </si>
  <si>
    <t>Kwaliteitsregister</t>
  </si>
  <si>
    <t>KNGF-lidmaatschap</t>
  </si>
  <si>
    <t>Lidmaatschap Fysiovakbond FDV</t>
  </si>
  <si>
    <t>Scholing</t>
  </si>
  <si>
    <t>BIG-register</t>
  </si>
  <si>
    <t>Eigen bijdragen/kosten</t>
  </si>
  <si>
    <t>Totaal</t>
  </si>
  <si>
    <t>Overige arbeidsvoorwaarden</t>
  </si>
  <si>
    <t>Wachtdagen</t>
  </si>
  <si>
    <t>Loondoorbetaling bij ziekte (in %)</t>
  </si>
  <si>
    <t>Totaal eigen kosten</t>
  </si>
  <si>
    <t>Waarde bovenwettelijke vakantiedagen</t>
  </si>
  <si>
    <t>Overige vergoedingen</t>
  </si>
  <si>
    <t xml:space="preserve">Dit is voor de volledigheid toegevoegd, maar wordt niet </t>
  </si>
  <si>
    <t>meegenomen in de berekening.</t>
  </si>
  <si>
    <t>Weken betaalde vakantie per jaar</t>
  </si>
  <si>
    <t>Alleen invullen als je tijdens je vakantie salaris ontvangt!</t>
  </si>
  <si>
    <t xml:space="preserve">Je kunt ook twee arbeidscontracten met elkaar vergelijken. </t>
  </si>
  <si>
    <t>Wil je je arbeidsvoorwaarden vergelijken met de gemiddelden?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</si>
</sst>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2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2"/>
      <color theme="1"/>
      <name val="Calibri"/>
      <family val="2"/>
    </font>
    <font>
      <b/>
      <sz val="11"/>
      <color theme="1"/>
      <name val="Calibri"/>
      <family val="2"/>
    </font>
    <font>
      <sz val="12"/>
      <name val="Calibri"/>
      <family val="2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1"/>
      <color theme="2" tint="-0.14999847407452621"/>
      <name val="Calibri"/>
      <family val="2"/>
    </font>
    <font>
      <sz val="11"/>
      <color theme="8" tint="0.59999389629810485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82BF61"/>
        <bgColor rgb="FF82BF61"/>
      </patternFill>
    </fill>
    <fill>
      <patternFill patternType="solid">
        <fgColor rgb="FFE1935A"/>
        <bgColor rgb="FFE1935A"/>
      </patternFill>
    </fill>
    <fill>
      <patternFill patternType="solid">
        <fgColor rgb="FFD8D8D8"/>
        <bgColor rgb="FFD8D8D8"/>
      </patternFill>
    </fill>
    <fill>
      <patternFill patternType="solid">
        <fgColor rgb="FF73CAEA"/>
        <bgColor rgb="FFD8D8D8"/>
      </patternFill>
    </fill>
    <fill>
      <patternFill patternType="solid">
        <fgColor rgb="FF73CAEA"/>
        <bgColor indexed="64"/>
      </patternFill>
    </fill>
    <fill>
      <patternFill patternType="solid">
        <fgColor rgb="FFFFFF00"/>
        <bgColor rgb="FFD8D8D8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E1935A"/>
      </patternFill>
    </fill>
    <fill>
      <patternFill patternType="solid">
        <fgColor rgb="FF84BF63"/>
        <bgColor rgb="FFD8D8D8"/>
      </patternFill>
    </fill>
    <fill>
      <patternFill patternType="solid">
        <fgColor rgb="FF84BF63"/>
        <bgColor indexed="64"/>
      </patternFill>
    </fill>
    <fill>
      <patternFill patternType="solid">
        <fgColor theme="0" tint="-0.14999847407452621"/>
        <bgColor rgb="FFD8D8D8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82BF61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rgb="FFE1935A"/>
      </patternFill>
    </fill>
  </fills>
  <borders count="40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184">
    <xf numFmtId="0" fontId="0" fillId="0" borderId="0" xfId="0"/>
    <xf numFmtId="0" fontId="4" fillId="2" borderId="1" xfId="0" applyFont="1" applyFill="1" applyBorder="1"/>
    <xf numFmtId="0" fontId="5" fillId="2" borderId="3" xfId="0" applyFont="1" applyFill="1" applyBorder="1"/>
    <xf numFmtId="0" fontId="4" fillId="2" borderId="4" xfId="0" applyFont="1" applyFill="1" applyBorder="1"/>
    <xf numFmtId="0" fontId="5" fillId="2" borderId="8" xfId="0" applyFont="1" applyFill="1" applyBorder="1"/>
    <xf numFmtId="0" fontId="4" fillId="2" borderId="12" xfId="0" applyFont="1" applyFill="1" applyBorder="1"/>
    <xf numFmtId="0" fontId="5" fillId="2" borderId="13" xfId="0" applyFont="1" applyFill="1" applyBorder="1"/>
    <xf numFmtId="0" fontId="5" fillId="2" borderId="14" xfId="0" applyFont="1" applyFill="1" applyBorder="1"/>
    <xf numFmtId="0" fontId="8" fillId="0" borderId="0" xfId="0" applyFont="1"/>
    <xf numFmtId="0" fontId="4" fillId="2" borderId="9" xfId="0" applyFont="1" applyFill="1" applyBorder="1"/>
    <xf numFmtId="0" fontId="5" fillId="2" borderId="10" xfId="0" applyFont="1" applyFill="1" applyBorder="1"/>
    <xf numFmtId="0" fontId="6" fillId="4" borderId="23" xfId="0" applyFont="1" applyFill="1" applyBorder="1" applyAlignment="1">
      <alignment horizontal="left"/>
    </xf>
    <xf numFmtId="0" fontId="7" fillId="0" borderId="23" xfId="0" applyFont="1" applyBorder="1"/>
    <xf numFmtId="0" fontId="6" fillId="4" borderId="24" xfId="0" applyFont="1" applyFill="1" applyBorder="1" applyAlignment="1">
      <alignment horizontal="left"/>
    </xf>
    <xf numFmtId="0" fontId="7" fillId="0" borderId="24" xfId="0" applyFont="1" applyBorder="1"/>
    <xf numFmtId="0" fontId="6" fillId="4" borderId="26" xfId="0" applyFont="1" applyFill="1" applyBorder="1" applyAlignment="1">
      <alignment horizontal="left"/>
    </xf>
    <xf numFmtId="0" fontId="5" fillId="0" borderId="0" xfId="0" applyFont="1"/>
    <xf numFmtId="0" fontId="6" fillId="5" borderId="23" xfId="0" applyFont="1" applyFill="1" applyBorder="1" applyAlignment="1">
      <alignment horizontal="left"/>
    </xf>
    <xf numFmtId="0" fontId="6" fillId="4" borderId="30" xfId="0" applyFont="1" applyFill="1" applyBorder="1" applyAlignment="1">
      <alignment horizontal="left"/>
    </xf>
    <xf numFmtId="0" fontId="6" fillId="4" borderId="31" xfId="0" applyFont="1" applyFill="1" applyBorder="1" applyAlignment="1">
      <alignment horizontal="left"/>
    </xf>
    <xf numFmtId="0" fontId="6" fillId="4" borderId="38" xfId="0" applyFont="1" applyFill="1" applyBorder="1" applyAlignment="1">
      <alignment horizontal="left"/>
    </xf>
    <xf numFmtId="0" fontId="7" fillId="6" borderId="23" xfId="0" applyFont="1" applyFill="1" applyBorder="1"/>
    <xf numFmtId="0" fontId="9" fillId="5" borderId="23" xfId="1" applyFill="1" applyBorder="1" applyAlignment="1">
      <alignment horizontal="left"/>
    </xf>
    <xf numFmtId="0" fontId="4" fillId="2" borderId="2" xfId="0" applyFont="1" applyFill="1" applyBorder="1"/>
    <xf numFmtId="0" fontId="6" fillId="0" borderId="19" xfId="0" applyFont="1" applyBorder="1"/>
    <xf numFmtId="14" fontId="6" fillId="0" borderId="20" xfId="0" applyNumberFormat="1" applyFont="1" applyBorder="1"/>
    <xf numFmtId="0" fontId="6" fillId="0" borderId="17" xfId="0" applyFont="1" applyBorder="1"/>
    <xf numFmtId="0" fontId="4" fillId="0" borderId="18" xfId="0" applyFont="1" applyBorder="1"/>
    <xf numFmtId="0" fontId="4" fillId="0" borderId="18" xfId="0" applyFont="1" applyBorder="1" applyAlignment="1">
      <alignment horizontal="left"/>
    </xf>
    <xf numFmtId="0" fontId="6" fillId="4" borderId="27" xfId="0" applyFont="1" applyFill="1" applyBorder="1" applyAlignment="1">
      <alignment horizontal="center"/>
    </xf>
    <xf numFmtId="0" fontId="6" fillId="4" borderId="11" xfId="0" applyFont="1" applyFill="1" applyBorder="1" applyAlignment="1">
      <alignment horizontal="left"/>
    </xf>
    <xf numFmtId="0" fontId="5" fillId="2" borderId="11" xfId="0" applyFont="1" applyFill="1" applyBorder="1"/>
    <xf numFmtId="0" fontId="6" fillId="10" borderId="34" xfId="0" applyFont="1" applyFill="1" applyBorder="1" applyAlignment="1">
      <alignment horizontal="center"/>
    </xf>
    <xf numFmtId="0" fontId="6" fillId="10" borderId="36" xfId="0" applyFont="1" applyFill="1" applyBorder="1" applyAlignment="1">
      <alignment horizontal="center"/>
    </xf>
    <xf numFmtId="0" fontId="6" fillId="4" borderId="27" xfId="0" applyFont="1" applyFill="1" applyBorder="1" applyAlignment="1">
      <alignment horizontal="left"/>
    </xf>
    <xf numFmtId="0" fontId="2" fillId="8" borderId="26" xfId="0" applyFont="1" applyFill="1" applyBorder="1" applyAlignment="1" applyProtection="1">
      <alignment horizontal="left"/>
      <protection locked="0"/>
    </xf>
    <xf numFmtId="0" fontId="2" fillId="8" borderId="27" xfId="0" applyFont="1" applyFill="1" applyBorder="1" applyAlignment="1" applyProtection="1">
      <alignment horizontal="left"/>
      <protection locked="0"/>
    </xf>
    <xf numFmtId="2" fontId="2" fillId="8" borderId="26" xfId="0" applyNumberFormat="1" applyFont="1" applyFill="1" applyBorder="1" applyAlignment="1" applyProtection="1">
      <alignment horizontal="left"/>
      <protection locked="0"/>
    </xf>
    <xf numFmtId="2" fontId="2" fillId="8" borderId="27" xfId="0" applyNumberFormat="1" applyFont="1" applyFill="1" applyBorder="1" applyAlignment="1" applyProtection="1">
      <alignment horizontal="left"/>
      <protection locked="0"/>
    </xf>
    <xf numFmtId="0" fontId="3" fillId="8" borderId="23" xfId="0" applyFont="1" applyFill="1" applyBorder="1" applyAlignment="1" applyProtection="1">
      <alignment horizontal="left"/>
      <protection locked="0"/>
    </xf>
    <xf numFmtId="0" fontId="3" fillId="8" borderId="24" xfId="0" applyFont="1" applyFill="1" applyBorder="1" applyAlignment="1" applyProtection="1">
      <alignment horizontal="left"/>
      <protection locked="0"/>
    </xf>
    <xf numFmtId="0" fontId="3" fillId="8" borderId="38" xfId="0" applyFont="1" applyFill="1" applyBorder="1" applyAlignment="1" applyProtection="1">
      <alignment horizontal="left"/>
      <protection locked="0"/>
    </xf>
    <xf numFmtId="2" fontId="3" fillId="8" borderId="23" xfId="0" applyNumberFormat="1" applyFont="1" applyFill="1" applyBorder="1" applyAlignment="1" applyProtection="1">
      <alignment horizontal="left"/>
      <protection locked="0"/>
    </xf>
    <xf numFmtId="2" fontId="3" fillId="8" borderId="26" xfId="0" applyNumberFormat="1" applyFont="1" applyFill="1" applyBorder="1" applyAlignment="1" applyProtection="1">
      <alignment horizontal="left"/>
      <protection locked="0"/>
    </xf>
    <xf numFmtId="2" fontId="3" fillId="8" borderId="27" xfId="0" applyNumberFormat="1" applyFont="1" applyFill="1" applyBorder="1" applyAlignment="1" applyProtection="1">
      <alignment horizontal="left"/>
      <protection locked="0"/>
    </xf>
    <xf numFmtId="0" fontId="2" fillId="8" borderId="30" xfId="0" applyFont="1" applyFill="1" applyBorder="1" applyAlignment="1" applyProtection="1">
      <alignment horizontal="left"/>
      <protection locked="0"/>
    </xf>
    <xf numFmtId="0" fontId="2" fillId="8" borderId="31" xfId="0" applyFont="1" applyFill="1" applyBorder="1" applyAlignment="1" applyProtection="1">
      <alignment horizontal="left"/>
      <protection locked="0"/>
    </xf>
    <xf numFmtId="2" fontId="2" fillId="8" borderId="30" xfId="0" applyNumberFormat="1" applyFont="1" applyFill="1" applyBorder="1" applyAlignment="1" applyProtection="1">
      <alignment horizontal="left"/>
      <protection locked="0"/>
    </xf>
    <xf numFmtId="2" fontId="2" fillId="9" borderId="26" xfId="0" applyNumberFormat="1" applyFont="1" applyFill="1" applyBorder="1" applyAlignment="1" applyProtection="1">
      <alignment horizontal="left"/>
      <protection locked="0"/>
    </xf>
    <xf numFmtId="0" fontId="2" fillId="9" borderId="27" xfId="0" applyFont="1" applyFill="1" applyBorder="1" applyAlignment="1" applyProtection="1">
      <alignment horizontal="left"/>
      <protection locked="0"/>
    </xf>
    <xf numFmtId="0" fontId="2" fillId="15" borderId="26" xfId="0" applyFont="1" applyFill="1" applyBorder="1" applyAlignment="1" applyProtection="1">
      <alignment horizontal="left"/>
      <protection locked="0"/>
    </xf>
    <xf numFmtId="0" fontId="2" fillId="15" borderId="27" xfId="0" applyFont="1" applyFill="1" applyBorder="1" applyAlignment="1" applyProtection="1">
      <alignment horizontal="left"/>
      <protection locked="0"/>
    </xf>
    <xf numFmtId="0" fontId="6" fillId="10" borderId="35" xfId="0" applyFont="1" applyFill="1" applyBorder="1"/>
    <xf numFmtId="0" fontId="6" fillId="17" borderId="11" xfId="0" applyFont="1" applyFill="1" applyBorder="1" applyAlignment="1">
      <alignment horizontal="left"/>
    </xf>
    <xf numFmtId="0" fontId="6" fillId="18" borderId="34" xfId="0" applyFont="1" applyFill="1" applyBorder="1" applyAlignment="1">
      <alignment horizontal="center"/>
    </xf>
    <xf numFmtId="0" fontId="6" fillId="18" borderId="36" xfId="0" applyFont="1" applyFill="1" applyBorder="1" applyAlignment="1">
      <alignment horizontal="center"/>
    </xf>
    <xf numFmtId="0" fontId="6" fillId="18" borderId="35" xfId="0" applyFont="1" applyFill="1" applyBorder="1" applyAlignment="1">
      <alignment horizontal="center"/>
    </xf>
    <xf numFmtId="0" fontId="6" fillId="15" borderId="19" xfId="0" applyFont="1" applyFill="1" applyBorder="1"/>
    <xf numFmtId="14" fontId="6" fillId="15" borderId="20" xfId="0" applyNumberFormat="1" applyFont="1" applyFill="1" applyBorder="1"/>
    <xf numFmtId="0" fontId="6" fillId="15" borderId="17" xfId="0" applyFont="1" applyFill="1" applyBorder="1"/>
    <xf numFmtId="0" fontId="4" fillId="15" borderId="18" xfId="0" applyFont="1" applyFill="1" applyBorder="1"/>
    <xf numFmtId="0" fontId="4" fillId="15" borderId="18" xfId="0" applyFont="1" applyFill="1" applyBorder="1" applyAlignment="1">
      <alignment horizontal="left"/>
    </xf>
    <xf numFmtId="0" fontId="5" fillId="16" borderId="11" xfId="0" applyFont="1" applyFill="1" applyBorder="1"/>
    <xf numFmtId="0" fontId="0" fillId="0" borderId="11" xfId="0" applyBorder="1"/>
    <xf numFmtId="0" fontId="0" fillId="15" borderId="11" xfId="0" applyFill="1" applyBorder="1"/>
    <xf numFmtId="0" fontId="4" fillId="16" borderId="11" xfId="0" applyFont="1" applyFill="1" applyBorder="1"/>
    <xf numFmtId="0" fontId="6" fillId="18" borderId="11" xfId="0" applyFont="1" applyFill="1" applyBorder="1" applyAlignment="1">
      <alignment horizontal="center"/>
    </xf>
    <xf numFmtId="0" fontId="4" fillId="2" borderId="39" xfId="0" applyFont="1" applyFill="1" applyBorder="1"/>
    <xf numFmtId="0" fontId="5" fillId="2" borderId="22" xfId="0" applyFont="1" applyFill="1" applyBorder="1"/>
    <xf numFmtId="2" fontId="3" fillId="8" borderId="30" xfId="0" applyNumberFormat="1" applyFont="1" applyFill="1" applyBorder="1" applyAlignment="1" applyProtection="1">
      <alignment horizontal="left"/>
      <protection locked="0"/>
    </xf>
    <xf numFmtId="2" fontId="3" fillId="8" borderId="31" xfId="0" applyNumberFormat="1" applyFont="1" applyFill="1" applyBorder="1" applyAlignment="1" applyProtection="1">
      <alignment horizontal="left"/>
      <protection locked="0"/>
    </xf>
    <xf numFmtId="0" fontId="3" fillId="15" borderId="23" xfId="0" applyFont="1" applyFill="1" applyBorder="1" applyAlignment="1" applyProtection="1">
      <alignment horizontal="left"/>
      <protection locked="0"/>
    </xf>
    <xf numFmtId="2" fontId="3" fillId="15" borderId="26" xfId="0" applyNumberFormat="1" applyFont="1" applyFill="1" applyBorder="1" applyAlignment="1" applyProtection="1">
      <alignment horizontal="left"/>
      <protection locked="0"/>
    </xf>
    <xf numFmtId="2" fontId="3" fillId="15" borderId="27" xfId="0" applyNumberFormat="1" applyFont="1" applyFill="1" applyBorder="1" applyAlignment="1" applyProtection="1">
      <alignment horizontal="left"/>
      <protection locked="0"/>
    </xf>
    <xf numFmtId="2" fontId="3" fillId="8" borderId="38" xfId="0" applyNumberFormat="1" applyFont="1" applyFill="1" applyBorder="1" applyAlignment="1" applyProtection="1">
      <alignment horizontal="left"/>
      <protection locked="0"/>
    </xf>
    <xf numFmtId="0" fontId="6" fillId="11" borderId="26" xfId="0" applyFont="1" applyFill="1" applyBorder="1" applyAlignment="1">
      <alignment horizontal="left"/>
    </xf>
    <xf numFmtId="0" fontId="6" fillId="11" borderId="27" xfId="0" applyFont="1" applyFill="1" applyBorder="1" applyAlignment="1">
      <alignment horizontal="left"/>
    </xf>
    <xf numFmtId="0" fontId="6" fillId="5" borderId="23" xfId="0" applyFont="1" applyFill="1" applyBorder="1" applyAlignment="1">
      <alignment horizontal="left"/>
    </xf>
    <xf numFmtId="0" fontId="7" fillId="6" borderId="23" xfId="0" applyFont="1" applyFill="1" applyBorder="1"/>
    <xf numFmtId="0" fontId="6" fillId="7" borderId="34" xfId="0" applyFont="1" applyFill="1" applyBorder="1" applyAlignment="1">
      <alignment horizontal="center"/>
    </xf>
    <xf numFmtId="0" fontId="6" fillId="7" borderId="36" xfId="0" applyFont="1" applyFill="1" applyBorder="1" applyAlignment="1">
      <alignment horizontal="center"/>
    </xf>
    <xf numFmtId="0" fontId="6" fillId="7" borderId="35" xfId="0" applyFont="1" applyFill="1" applyBorder="1" applyAlignment="1">
      <alignment horizontal="center"/>
    </xf>
    <xf numFmtId="0" fontId="3" fillId="8" borderId="24" xfId="0" applyFont="1" applyFill="1" applyBorder="1" applyAlignment="1" applyProtection="1">
      <alignment horizontal="left"/>
      <protection locked="0"/>
    </xf>
    <xf numFmtId="0" fontId="6" fillId="5" borderId="24" xfId="0" applyFont="1" applyFill="1" applyBorder="1" applyAlignment="1">
      <alignment horizontal="left"/>
    </xf>
    <xf numFmtId="0" fontId="7" fillId="6" borderId="24" xfId="0" applyFont="1" applyFill="1" applyBorder="1"/>
    <xf numFmtId="0" fontId="6" fillId="4" borderId="23" xfId="0" applyFont="1" applyFill="1" applyBorder="1" applyAlignment="1">
      <alignment horizontal="left"/>
    </xf>
    <xf numFmtId="0" fontId="7" fillId="0" borderId="23" xfId="0" applyFont="1" applyBorder="1"/>
    <xf numFmtId="0" fontId="3" fillId="8" borderId="23" xfId="0" applyFont="1" applyFill="1" applyBorder="1" applyAlignment="1" applyProtection="1">
      <alignment horizontal="left"/>
      <protection locked="0"/>
    </xf>
    <xf numFmtId="0" fontId="6" fillId="10" borderId="34" xfId="0" applyFont="1" applyFill="1" applyBorder="1" applyAlignment="1">
      <alignment horizontal="center"/>
    </xf>
    <xf numFmtId="0" fontId="6" fillId="10" borderId="36" xfId="0" applyFont="1" applyFill="1" applyBorder="1" applyAlignment="1">
      <alignment horizontal="center"/>
    </xf>
    <xf numFmtId="0" fontId="6" fillId="10" borderId="35" xfId="0" applyFont="1" applyFill="1" applyBorder="1" applyAlignment="1">
      <alignment horizontal="center"/>
    </xf>
    <xf numFmtId="0" fontId="3" fillId="0" borderId="23" xfId="0" applyFont="1" applyBorder="1" applyAlignment="1" applyProtection="1">
      <alignment horizontal="left"/>
      <protection locked="0"/>
    </xf>
    <xf numFmtId="0" fontId="2" fillId="8" borderId="23" xfId="0" applyFont="1" applyFill="1" applyBorder="1" applyAlignment="1" applyProtection="1">
      <alignment horizontal="left"/>
      <protection locked="0"/>
    </xf>
    <xf numFmtId="0" fontId="3" fillId="8" borderId="26" xfId="0" applyFont="1" applyFill="1" applyBorder="1" applyAlignment="1" applyProtection="1">
      <alignment horizontal="left"/>
      <protection locked="0"/>
    </xf>
    <xf numFmtId="0" fontId="3" fillId="8" borderId="27" xfId="0" applyFont="1" applyFill="1" applyBorder="1" applyAlignment="1" applyProtection="1">
      <alignment horizontal="left"/>
      <protection locked="0"/>
    </xf>
    <xf numFmtId="0" fontId="6" fillId="4" borderId="26" xfId="0" applyFont="1" applyFill="1" applyBorder="1" applyAlignment="1">
      <alignment horizontal="left"/>
    </xf>
    <xf numFmtId="0" fontId="6" fillId="4" borderId="27" xfId="0" applyFont="1" applyFill="1" applyBorder="1" applyAlignment="1">
      <alignment horizontal="left"/>
    </xf>
    <xf numFmtId="0" fontId="2" fillId="8" borderId="26" xfId="0" applyFont="1" applyFill="1" applyBorder="1" applyAlignment="1" applyProtection="1">
      <alignment horizontal="left"/>
      <protection locked="0"/>
    </xf>
    <xf numFmtId="0" fontId="2" fillId="8" borderId="27" xfId="0" applyFont="1" applyFill="1" applyBorder="1" applyAlignment="1" applyProtection="1">
      <alignment horizontal="left"/>
      <protection locked="0"/>
    </xf>
    <xf numFmtId="0" fontId="3" fillId="0" borderId="26" xfId="0" applyFont="1" applyBorder="1" applyAlignment="1" applyProtection="1">
      <alignment horizontal="left"/>
      <protection locked="0"/>
    </xf>
    <xf numFmtId="0" fontId="3" fillId="0" borderId="27" xfId="0" applyFont="1" applyBorder="1" applyAlignment="1" applyProtection="1">
      <alignment horizontal="left"/>
      <protection locked="0"/>
    </xf>
    <xf numFmtId="2" fontId="2" fillId="8" borderId="26" xfId="0" applyNumberFormat="1" applyFont="1" applyFill="1" applyBorder="1" applyAlignment="1" applyProtection="1">
      <alignment horizontal="left"/>
      <protection locked="0"/>
    </xf>
    <xf numFmtId="2" fontId="2" fillId="8" borderId="27" xfId="0" applyNumberFormat="1" applyFont="1" applyFill="1" applyBorder="1" applyAlignment="1" applyProtection="1">
      <alignment horizontal="left"/>
      <protection locked="0"/>
    </xf>
    <xf numFmtId="0" fontId="6" fillId="3" borderId="34" xfId="0" applyFont="1" applyFill="1" applyBorder="1" applyAlignment="1">
      <alignment horizontal="center"/>
    </xf>
    <xf numFmtId="0" fontId="7" fillId="0" borderId="36" xfId="0" applyFont="1" applyBorder="1"/>
    <xf numFmtId="0" fontId="7" fillId="0" borderId="35" xfId="0" applyFont="1" applyBorder="1"/>
    <xf numFmtId="0" fontId="3" fillId="8" borderId="28" xfId="0" applyFont="1" applyFill="1" applyBorder="1" applyAlignment="1" applyProtection="1">
      <alignment horizontal="left"/>
      <protection locked="0"/>
    </xf>
    <xf numFmtId="0" fontId="3" fillId="8" borderId="29" xfId="0" applyFont="1" applyFill="1" applyBorder="1" applyAlignment="1" applyProtection="1">
      <alignment horizontal="left"/>
      <protection locked="0"/>
    </xf>
    <xf numFmtId="0" fontId="6" fillId="11" borderId="23" xfId="0" applyFont="1" applyFill="1" applyBorder="1" applyAlignment="1">
      <alignment horizontal="left"/>
    </xf>
    <xf numFmtId="0" fontId="7" fillId="12" borderId="23" xfId="0" applyFont="1" applyFill="1" applyBorder="1"/>
    <xf numFmtId="0" fontId="3" fillId="9" borderId="38" xfId="0" applyFont="1" applyFill="1" applyBorder="1" applyAlignment="1" applyProtection="1">
      <alignment horizontal="left"/>
      <protection locked="0"/>
    </xf>
    <xf numFmtId="0" fontId="11" fillId="8" borderId="23" xfId="0" applyFont="1" applyFill="1" applyBorder="1" applyAlignment="1" applyProtection="1">
      <alignment horizontal="left"/>
      <protection locked="0"/>
    </xf>
    <xf numFmtId="0" fontId="6" fillId="13" borderId="38" xfId="0" applyFont="1" applyFill="1" applyBorder="1" applyAlignment="1">
      <alignment horizontal="left"/>
    </xf>
    <xf numFmtId="0" fontId="7" fillId="14" borderId="38" xfId="0" applyFont="1" applyFill="1" applyBorder="1"/>
    <xf numFmtId="2" fontId="0" fillId="8" borderId="30" xfId="0" applyNumberFormat="1" applyFill="1" applyBorder="1" applyAlignment="1">
      <alignment horizontal="left"/>
    </xf>
    <xf numFmtId="2" fontId="0" fillId="8" borderId="25" xfId="0" applyNumberFormat="1" applyFill="1" applyBorder="1" applyAlignment="1">
      <alignment horizontal="left"/>
    </xf>
    <xf numFmtId="0" fontId="6" fillId="3" borderId="5" xfId="0" applyFont="1" applyFill="1" applyBorder="1" applyAlignment="1">
      <alignment horizontal="center"/>
    </xf>
    <xf numFmtId="0" fontId="7" fillId="0" borderId="6" xfId="0" applyFont="1" applyBorder="1"/>
    <xf numFmtId="0" fontId="7" fillId="0" borderId="7" xfId="0" applyFont="1" applyBorder="1"/>
    <xf numFmtId="0" fontId="6" fillId="4" borderId="19" xfId="0" applyFont="1" applyFill="1" applyBorder="1" applyAlignment="1">
      <alignment horizontal="left"/>
    </xf>
    <xf numFmtId="0" fontId="7" fillId="0" borderId="21" xfId="0" applyFont="1" applyBorder="1"/>
    <xf numFmtId="0" fontId="7" fillId="0" borderId="20" xfId="0" applyFont="1" applyBorder="1"/>
    <xf numFmtId="0" fontId="6" fillId="4" borderId="17" xfId="0" applyFont="1" applyFill="1" applyBorder="1" applyAlignment="1">
      <alignment horizontal="left"/>
    </xf>
    <xf numFmtId="0" fontId="7" fillId="0" borderId="11" xfId="0" applyFont="1" applyBorder="1"/>
    <xf numFmtId="0" fontId="7" fillId="0" borderId="18" xfId="0" applyFont="1" applyBorder="1"/>
    <xf numFmtId="0" fontId="9" fillId="4" borderId="17" xfId="1" applyFill="1" applyBorder="1" applyAlignment="1" applyProtection="1">
      <alignment horizontal="left"/>
    </xf>
    <xf numFmtId="0" fontId="7" fillId="0" borderId="22" xfId="0" applyFont="1" applyBorder="1"/>
    <xf numFmtId="0" fontId="6" fillId="11" borderId="24" xfId="0" applyFont="1" applyFill="1" applyBorder="1" applyAlignment="1">
      <alignment horizontal="left"/>
    </xf>
    <xf numFmtId="0" fontId="7" fillId="12" borderId="24" xfId="0" applyFont="1" applyFill="1" applyBorder="1"/>
    <xf numFmtId="0" fontId="3" fillId="0" borderId="24" xfId="0" applyFont="1" applyBorder="1" applyAlignment="1" applyProtection="1">
      <alignment horizontal="left"/>
      <protection locked="0"/>
    </xf>
    <xf numFmtId="2" fontId="2" fillId="8" borderId="23" xfId="0" applyNumberFormat="1" applyFont="1" applyFill="1" applyBorder="1" applyAlignment="1" applyProtection="1">
      <alignment horizontal="left"/>
      <protection locked="0"/>
    </xf>
    <xf numFmtId="2" fontId="3" fillId="8" borderId="23" xfId="0" applyNumberFormat="1" applyFont="1" applyFill="1" applyBorder="1" applyAlignment="1" applyProtection="1">
      <alignment horizontal="left"/>
      <protection locked="0"/>
    </xf>
    <xf numFmtId="2" fontId="3" fillId="8" borderId="26" xfId="0" applyNumberFormat="1" applyFont="1" applyFill="1" applyBorder="1" applyAlignment="1" applyProtection="1">
      <alignment horizontal="left"/>
      <protection locked="0"/>
    </xf>
    <xf numFmtId="2" fontId="3" fillId="8" borderId="27" xfId="0" applyNumberFormat="1" applyFont="1" applyFill="1" applyBorder="1" applyAlignment="1" applyProtection="1">
      <alignment horizontal="left"/>
      <protection locked="0"/>
    </xf>
    <xf numFmtId="0" fontId="10" fillId="4" borderId="38" xfId="0" applyFont="1" applyFill="1" applyBorder="1" applyAlignment="1">
      <alignment horizontal="left"/>
    </xf>
    <xf numFmtId="0" fontId="7" fillId="0" borderId="38" xfId="0" applyFont="1" applyBorder="1"/>
    <xf numFmtId="2" fontId="11" fillId="8" borderId="17" xfId="0" applyNumberFormat="1" applyFont="1" applyFill="1" applyBorder="1" applyAlignment="1" applyProtection="1">
      <alignment horizontal="left"/>
      <protection locked="0"/>
    </xf>
    <xf numFmtId="2" fontId="11" fillId="8" borderId="18" xfId="0" applyNumberFormat="1" applyFont="1" applyFill="1" applyBorder="1" applyAlignment="1" applyProtection="1">
      <alignment horizontal="left"/>
      <protection locked="0"/>
    </xf>
    <xf numFmtId="0" fontId="6" fillId="4" borderId="38" xfId="0" applyFont="1" applyFill="1" applyBorder="1" applyAlignment="1">
      <alignment horizontal="left"/>
    </xf>
    <xf numFmtId="0" fontId="6" fillId="5" borderId="32" xfId="0" applyFont="1" applyFill="1" applyBorder="1" applyAlignment="1">
      <alignment horizontal="left"/>
    </xf>
    <xf numFmtId="0" fontId="6" fillId="5" borderId="33" xfId="0" applyFont="1" applyFill="1" applyBorder="1" applyAlignment="1">
      <alignment horizontal="left"/>
    </xf>
    <xf numFmtId="0" fontId="3" fillId="8" borderId="32" xfId="0" applyFont="1" applyFill="1" applyBorder="1" applyAlignment="1" applyProtection="1">
      <alignment horizontal="left"/>
      <protection locked="0"/>
    </xf>
    <xf numFmtId="0" fontId="3" fillId="8" borderId="33" xfId="0" applyFont="1" applyFill="1" applyBorder="1" applyAlignment="1" applyProtection="1">
      <alignment horizontal="left"/>
      <protection locked="0"/>
    </xf>
    <xf numFmtId="0" fontId="6" fillId="7" borderId="19" xfId="0" applyFont="1" applyFill="1" applyBorder="1" applyAlignment="1">
      <alignment horizontal="left"/>
    </xf>
    <xf numFmtId="0" fontId="7" fillId="9" borderId="21" xfId="0" applyFont="1" applyFill="1" applyBorder="1"/>
    <xf numFmtId="0" fontId="7" fillId="9" borderId="20" xfId="0" applyFont="1" applyFill="1" applyBorder="1"/>
    <xf numFmtId="0" fontId="9" fillId="7" borderId="17" xfId="1" applyFill="1" applyBorder="1" applyAlignment="1" applyProtection="1">
      <alignment horizontal="left"/>
    </xf>
    <xf numFmtId="0" fontId="7" fillId="9" borderId="11" xfId="0" applyFont="1" applyFill="1" applyBorder="1"/>
    <xf numFmtId="0" fontId="7" fillId="9" borderId="18" xfId="0" applyFont="1" applyFill="1" applyBorder="1"/>
    <xf numFmtId="0" fontId="9" fillId="7" borderId="15" xfId="1" applyFill="1" applyBorder="1" applyAlignment="1" applyProtection="1">
      <alignment horizontal="left"/>
    </xf>
    <xf numFmtId="0" fontId="7" fillId="9" borderId="22" xfId="0" applyFont="1" applyFill="1" applyBorder="1"/>
    <xf numFmtId="0" fontId="7" fillId="9" borderId="16" xfId="0" applyFont="1" applyFill="1" applyBorder="1"/>
    <xf numFmtId="0" fontId="3" fillId="0" borderId="37" xfId="0" applyFont="1" applyBorder="1" applyAlignment="1" applyProtection="1">
      <alignment horizontal="left"/>
      <protection locked="0"/>
    </xf>
    <xf numFmtId="0" fontId="6" fillId="4" borderId="9" xfId="0" applyFont="1" applyFill="1" applyBorder="1" applyAlignment="1">
      <alignment horizontal="left"/>
    </xf>
    <xf numFmtId="0" fontId="7" fillId="0" borderId="10" xfId="0" applyFont="1" applyBorder="1"/>
    <xf numFmtId="0" fontId="6" fillId="4" borderId="9" xfId="0" applyFont="1" applyFill="1" applyBorder="1" applyAlignment="1">
      <alignment horizontal="center"/>
    </xf>
    <xf numFmtId="2" fontId="1" fillId="8" borderId="26" xfId="0" applyNumberFormat="1" applyFont="1" applyFill="1" applyBorder="1" applyAlignment="1" applyProtection="1">
      <alignment horizontal="left"/>
      <protection locked="0"/>
    </xf>
    <xf numFmtId="2" fontId="2" fillId="9" borderId="30" xfId="0" applyNumberFormat="1" applyFont="1" applyFill="1" applyBorder="1" applyAlignment="1" applyProtection="1">
      <alignment horizontal="left"/>
      <protection locked="0"/>
    </xf>
    <xf numFmtId="2" fontId="2" fillId="9" borderId="31" xfId="0" applyNumberFormat="1" applyFont="1" applyFill="1" applyBorder="1" applyAlignment="1" applyProtection="1">
      <alignment horizontal="left"/>
      <protection locked="0"/>
    </xf>
    <xf numFmtId="0" fontId="6" fillId="17" borderId="34" xfId="0" applyFont="1" applyFill="1" applyBorder="1" applyAlignment="1">
      <alignment horizontal="center"/>
    </xf>
    <xf numFmtId="0" fontId="6" fillId="17" borderId="36" xfId="0" applyFont="1" applyFill="1" applyBorder="1" applyAlignment="1">
      <alignment horizontal="center"/>
    </xf>
    <xf numFmtId="0" fontId="6" fillId="17" borderId="35" xfId="0" applyFont="1" applyFill="1" applyBorder="1" applyAlignment="1">
      <alignment horizontal="center"/>
    </xf>
    <xf numFmtId="0" fontId="6" fillId="5" borderId="26" xfId="0" applyFont="1" applyFill="1" applyBorder="1" applyAlignment="1">
      <alignment horizontal="left"/>
    </xf>
    <xf numFmtId="0" fontId="6" fillId="5" borderId="27" xfId="0" applyFont="1" applyFill="1" applyBorder="1" applyAlignment="1">
      <alignment horizontal="left"/>
    </xf>
    <xf numFmtId="0" fontId="6" fillId="4" borderId="28" xfId="0" applyFont="1" applyFill="1" applyBorder="1" applyAlignment="1">
      <alignment horizontal="left"/>
    </xf>
    <xf numFmtId="0" fontId="6" fillId="4" borderId="29" xfId="0" applyFont="1" applyFill="1" applyBorder="1" applyAlignment="1">
      <alignment horizontal="left"/>
    </xf>
    <xf numFmtId="0" fontId="6" fillId="7" borderId="26" xfId="0" applyFont="1" applyFill="1" applyBorder="1" applyAlignment="1">
      <alignment horizontal="left"/>
    </xf>
    <xf numFmtId="0" fontId="6" fillId="7" borderId="27" xfId="0" applyFont="1" applyFill="1" applyBorder="1" applyAlignment="1">
      <alignment horizontal="left"/>
    </xf>
    <xf numFmtId="0" fontId="9" fillId="17" borderId="11" xfId="1" applyFill="1" applyBorder="1" applyAlignment="1" applyProtection="1">
      <alignment horizontal="left"/>
    </xf>
    <xf numFmtId="0" fontId="7" fillId="15" borderId="11" xfId="0" applyFont="1" applyFill="1" applyBorder="1"/>
    <xf numFmtId="2" fontId="2" fillId="15" borderId="11" xfId="0" applyNumberFormat="1" applyFont="1" applyFill="1" applyBorder="1" applyAlignment="1" applyProtection="1">
      <alignment horizontal="left"/>
      <protection locked="0"/>
    </xf>
    <xf numFmtId="0" fontId="2" fillId="15" borderId="11" xfId="0" applyFont="1" applyFill="1" applyBorder="1" applyAlignment="1" applyProtection="1">
      <alignment horizontal="left"/>
      <protection locked="0"/>
    </xf>
    <xf numFmtId="0" fontId="6" fillId="17" borderId="11" xfId="0" applyFont="1" applyFill="1" applyBorder="1" applyAlignment="1">
      <alignment horizontal="left"/>
    </xf>
    <xf numFmtId="0" fontId="9" fillId="5" borderId="26" xfId="1" applyFill="1" applyBorder="1" applyAlignment="1">
      <alignment horizontal="left"/>
    </xf>
    <xf numFmtId="0" fontId="9" fillId="5" borderId="27" xfId="1" applyFill="1" applyBorder="1" applyAlignment="1">
      <alignment horizontal="left"/>
    </xf>
    <xf numFmtId="0" fontId="12" fillId="7" borderId="15" xfId="1" applyFont="1" applyFill="1" applyBorder="1" applyAlignment="1" applyProtection="1">
      <alignment horizontal="left"/>
    </xf>
    <xf numFmtId="0" fontId="13" fillId="9" borderId="22" xfId="0" applyFont="1" applyFill="1" applyBorder="1"/>
    <xf numFmtId="0" fontId="13" fillId="9" borderId="16" xfId="0" applyFont="1" applyFill="1" applyBorder="1"/>
    <xf numFmtId="0" fontId="6" fillId="4" borderId="30" xfId="0" applyFont="1" applyFill="1" applyBorder="1" applyAlignment="1">
      <alignment horizontal="left"/>
    </xf>
    <xf numFmtId="0" fontId="6" fillId="4" borderId="31" xfId="0" applyFont="1" applyFill="1" applyBorder="1" applyAlignment="1">
      <alignment horizontal="left"/>
    </xf>
    <xf numFmtId="2" fontId="3" fillId="8" borderId="32" xfId="0" applyNumberFormat="1" applyFont="1" applyFill="1" applyBorder="1" applyAlignment="1" applyProtection="1">
      <alignment horizontal="left"/>
      <protection locked="0"/>
    </xf>
    <xf numFmtId="2" fontId="3" fillId="8" borderId="33" xfId="0" applyNumberFormat="1" applyFont="1" applyFill="1" applyBorder="1" applyAlignment="1" applyProtection="1">
      <alignment horizontal="left"/>
      <protection locked="0"/>
    </xf>
    <xf numFmtId="0" fontId="3" fillId="8" borderId="38" xfId="0" applyFont="1" applyFill="1" applyBorder="1" applyAlignment="1" applyProtection="1">
      <alignment horizontal="left"/>
      <protection locked="0"/>
    </xf>
    <xf numFmtId="2" fontId="3" fillId="8" borderId="38" xfId="0" applyNumberFormat="1" applyFont="1" applyFill="1" applyBorder="1" applyAlignment="1" applyProtection="1">
      <alignment horizontal="left"/>
      <protection locked="0"/>
    </xf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colors>
    <mruColors>
      <color rgb="FF73CAEA"/>
      <color rgb="FF84BF6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1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526099</xdr:colOff>
      <xdr:row>2</xdr:row>
      <xdr:rowOff>49530</xdr:rowOff>
    </xdr:from>
    <xdr:ext cx="1462404" cy="716915"/>
    <xdr:pic>
      <xdr:nvPicPr>
        <xdr:cNvPr id="2" name="image4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050974" y="446405"/>
          <a:ext cx="1462404" cy="71691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451804</xdr:colOff>
      <xdr:row>2</xdr:row>
      <xdr:rowOff>47625</xdr:rowOff>
    </xdr:from>
    <xdr:ext cx="1462404" cy="716915"/>
    <xdr:pic>
      <xdr:nvPicPr>
        <xdr:cNvPr id="2" name="image4.jpg">
          <a:extLst>
            <a:ext uri="{FF2B5EF4-FFF2-40B4-BE49-F238E27FC236}">
              <a16:creationId xmlns:a16="http://schemas.microsoft.com/office/drawing/2014/main" id="{0C506916-A27C-4E08-8869-3510D40F68A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757604" y="474345"/>
          <a:ext cx="1462404" cy="716915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526099</xdr:colOff>
      <xdr:row>2</xdr:row>
      <xdr:rowOff>49530</xdr:rowOff>
    </xdr:from>
    <xdr:ext cx="1462404" cy="716915"/>
    <xdr:pic>
      <xdr:nvPicPr>
        <xdr:cNvPr id="3" name="image4.jpg">
          <a:extLst>
            <a:ext uri="{FF2B5EF4-FFF2-40B4-BE49-F238E27FC236}">
              <a16:creationId xmlns:a16="http://schemas.microsoft.com/office/drawing/2014/main" id="{95D41BA2-7EA6-442B-86D5-76E5AFBA17B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938704" y="443865"/>
          <a:ext cx="1462404" cy="71691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185104</xdr:colOff>
      <xdr:row>2</xdr:row>
      <xdr:rowOff>47625</xdr:rowOff>
    </xdr:from>
    <xdr:ext cx="1462404" cy="716915"/>
    <xdr:pic>
      <xdr:nvPicPr>
        <xdr:cNvPr id="3" name="image4.jpg">
          <a:extLst>
            <a:ext uri="{FF2B5EF4-FFF2-40B4-BE49-F238E27FC236}">
              <a16:creationId xmlns:a16="http://schemas.microsoft.com/office/drawing/2014/main" id="{C1E19D20-C214-452D-B794-EEA95529418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86279" y="466725"/>
          <a:ext cx="1462404" cy="71691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fysiovakbond.nl/cao/salaristabel-per-1-1-25-volgens-de-concept-cao-eerstelijns-fysiotherapie/" TargetMode="External"/><Relationship Id="rId1" Type="http://schemas.openxmlformats.org/officeDocument/2006/relationships/hyperlink" Target="https://fysiovakbond.nl/cao/salaristabel-per-1-1-25-volgens-de-concept-cao-eerstelijns-fysiotherapi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fysiovakbond.nl/cao/salaristabel-per-1-1-25-volgens-de-concept-cao-eerstelijns-fysiotherapie/" TargetMode="External"/><Relationship Id="rId1" Type="http://schemas.openxmlformats.org/officeDocument/2006/relationships/hyperlink" Target="https://fysiovakbond.nl/cao/salaristabel-per-1-1-25-volgens-de-concept-cao-eerstelijns-fysiotherapie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hyperlink" Target="https://fysiovakbond.nl/cao/salaristabel-per-1-1-25-volgens-de-concept-cao-eerstelijns-fysiotherapie/" TargetMode="External"/><Relationship Id="rId1" Type="http://schemas.openxmlformats.org/officeDocument/2006/relationships/hyperlink" Target="https://fysiovakbond.nl/cao/salaristabel-per-1-1-25-volgens-de-concept-cao-eerstelijns-fysiotherapi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22"/>
  <sheetViews>
    <sheetView showGridLines="0" tabSelected="1" topLeftCell="A18" zoomScaleNormal="100" workbookViewId="0">
      <selection activeCell="D13" sqref="D13:E13"/>
    </sheetView>
  </sheetViews>
  <sheetFormatPr defaultColWidth="11.25" defaultRowHeight="15" customHeight="1" x14ac:dyDescent="0.25"/>
  <cols>
    <col min="1" max="1" width="2.25" customWidth="1"/>
    <col min="2" max="2" width="12.25" customWidth="1"/>
    <col min="3" max="3" width="44.75" customWidth="1"/>
    <col min="4" max="4" width="12.25" customWidth="1"/>
    <col min="5" max="5" width="5.5" customWidth="1"/>
    <col min="6" max="6" width="12.25" customWidth="1"/>
    <col min="7" max="7" width="34" customWidth="1"/>
    <col min="8" max="8" width="12.25" customWidth="1"/>
    <col min="9" max="9" width="19.625" customWidth="1"/>
    <col min="10" max="10" width="2.75" customWidth="1"/>
    <col min="11" max="26" width="8.75" customWidth="1"/>
  </cols>
  <sheetData>
    <row r="1" spans="1:10" ht="15.75" customHeight="1" x14ac:dyDescent="0.25">
      <c r="A1" s="1"/>
      <c r="B1" s="23"/>
      <c r="C1" s="23"/>
      <c r="D1" s="23"/>
      <c r="E1" s="23"/>
      <c r="F1" s="23"/>
      <c r="G1" s="23"/>
      <c r="H1" s="23"/>
      <c r="I1" s="23"/>
      <c r="J1" s="2"/>
    </row>
    <row r="2" spans="1:10" ht="15.75" customHeight="1" thickBot="1" x14ac:dyDescent="0.3">
      <c r="A2" s="3"/>
      <c r="B2" s="116" t="s">
        <v>50</v>
      </c>
      <c r="C2" s="117"/>
      <c r="D2" s="117"/>
      <c r="E2" s="117"/>
      <c r="F2" s="117"/>
      <c r="G2" s="117"/>
      <c r="H2" s="117"/>
      <c r="I2" s="118"/>
      <c r="J2" s="4"/>
    </row>
    <row r="3" spans="1:10" ht="15.75" customHeight="1" x14ac:dyDescent="0.25">
      <c r="A3" s="3"/>
      <c r="B3" s="119" t="s">
        <v>53</v>
      </c>
      <c r="C3" s="120"/>
      <c r="D3" s="121"/>
      <c r="E3" s="119" t="s">
        <v>120</v>
      </c>
      <c r="F3" s="120"/>
      <c r="G3" s="121"/>
      <c r="H3" s="24"/>
      <c r="I3" s="25"/>
      <c r="J3" s="4"/>
    </row>
    <row r="4" spans="1:10" ht="15.75" customHeight="1" thickBot="1" x14ac:dyDescent="0.3">
      <c r="A4" s="3"/>
      <c r="B4" s="122" t="s">
        <v>54</v>
      </c>
      <c r="C4" s="123"/>
      <c r="D4" s="124"/>
      <c r="E4" s="125" t="str">
        <f>HYPERLINK("https://fysiovakbond.nl/wp-content/uploads/2025/06/Factsheet-arbeidsvoorwaarden-vergelijken-Salarisonderzoek-2024.pdf", "Arbeidsvoorwaarden vergelijken Salarisonderzoek 2024")</f>
        <v>Arbeidsvoorwaarden vergelijken Salarisonderzoek 2024</v>
      </c>
      <c r="F4" s="123"/>
      <c r="G4" s="124"/>
      <c r="H4" s="26"/>
      <c r="I4" s="27"/>
      <c r="J4" s="4"/>
    </row>
    <row r="5" spans="1:10" ht="15.75" customHeight="1" x14ac:dyDescent="0.25">
      <c r="A5" s="3"/>
      <c r="B5" s="122" t="s">
        <v>119</v>
      </c>
      <c r="C5" s="123"/>
      <c r="D5" s="124"/>
      <c r="E5" s="119" t="s">
        <v>52</v>
      </c>
      <c r="F5" s="120"/>
      <c r="G5" s="121"/>
      <c r="H5" s="26"/>
      <c r="I5" s="28"/>
      <c r="J5" s="4"/>
    </row>
    <row r="6" spans="1:10" ht="15.75" customHeight="1" x14ac:dyDescent="0.25">
      <c r="A6" s="9"/>
      <c r="B6" s="122" t="s">
        <v>90</v>
      </c>
      <c r="C6" s="123"/>
      <c r="D6" s="124"/>
      <c r="E6" s="125" t="str">
        <f>HYPERLINK("https://fysiovakbond.nl/wp-content/uploads/2025/06/Fysiovakbond-FDV-Arbeidsvoorwaarden-in-de-eerstelijns-fysiotherapie-2024.pdf", "Arbeidsvoorwaarden eerstelijnsfysiotherapie 2024")</f>
        <v>Arbeidsvoorwaarden eerstelijnsfysiotherapie 2024</v>
      </c>
      <c r="F6" s="123"/>
      <c r="G6" s="124"/>
      <c r="H6" s="26"/>
      <c r="I6" s="28"/>
      <c r="J6" s="10"/>
    </row>
    <row r="7" spans="1:10" ht="15.75" customHeight="1" thickBot="1" x14ac:dyDescent="0.3">
      <c r="A7" s="9"/>
      <c r="B7" s="122" t="s">
        <v>91</v>
      </c>
      <c r="C7" s="123"/>
      <c r="D7" s="124"/>
      <c r="E7" s="125"/>
      <c r="F7" s="123"/>
      <c r="G7" s="124"/>
      <c r="H7" s="26"/>
      <c r="I7" s="28"/>
      <c r="J7" s="10"/>
    </row>
    <row r="8" spans="1:10" ht="15.75" customHeight="1" thickBot="1" x14ac:dyDescent="0.3">
      <c r="A8" s="9"/>
      <c r="B8" s="79" t="s">
        <v>49</v>
      </c>
      <c r="C8" s="80"/>
      <c r="D8" s="80"/>
      <c r="E8" s="80"/>
      <c r="F8" s="80"/>
      <c r="G8" s="80"/>
      <c r="H8" s="80"/>
      <c r="I8" s="81"/>
      <c r="J8" s="10"/>
    </row>
    <row r="9" spans="1:10" ht="15.75" customHeight="1" thickBot="1" x14ac:dyDescent="0.3">
      <c r="A9" s="3"/>
      <c r="B9" s="79" t="s">
        <v>47</v>
      </c>
      <c r="C9" s="80"/>
      <c r="D9" s="80"/>
      <c r="E9" s="80"/>
      <c r="F9" s="80"/>
      <c r="G9" s="80"/>
      <c r="H9" s="80"/>
      <c r="I9" s="81"/>
      <c r="J9" s="4"/>
    </row>
    <row r="10" spans="1:10" ht="15.75" customHeight="1" thickBot="1" x14ac:dyDescent="0.3">
      <c r="A10" s="3"/>
      <c r="B10" s="103" t="s">
        <v>3</v>
      </c>
      <c r="C10" s="104"/>
      <c r="D10" s="104"/>
      <c r="E10" s="126"/>
      <c r="F10" s="126"/>
      <c r="G10" s="126"/>
      <c r="H10" s="104"/>
      <c r="I10" s="105"/>
      <c r="J10" s="4"/>
    </row>
    <row r="11" spans="1:10" ht="15.75" customHeight="1" x14ac:dyDescent="0.25">
      <c r="A11" s="9"/>
      <c r="B11" s="139" t="s">
        <v>39</v>
      </c>
      <c r="C11" s="140"/>
      <c r="D11" s="141"/>
      <c r="E11" s="142"/>
      <c r="F11" s="83" t="s">
        <v>5</v>
      </c>
      <c r="G11" s="83"/>
      <c r="H11" s="141"/>
      <c r="I11" s="142"/>
      <c r="J11" s="10"/>
    </row>
    <row r="12" spans="1:10" ht="15.75" customHeight="1" x14ac:dyDescent="0.25">
      <c r="A12" s="3"/>
      <c r="B12" s="127" t="s">
        <v>0</v>
      </c>
      <c r="C12" s="128"/>
      <c r="D12" s="129">
        <v>45000</v>
      </c>
      <c r="E12" s="129"/>
      <c r="F12" s="85" t="s">
        <v>4</v>
      </c>
      <c r="G12" s="86"/>
      <c r="H12" s="132">
        <f>SUM(H15/108*100)</f>
        <v>41666.666666666672</v>
      </c>
      <c r="I12" s="133"/>
      <c r="J12" s="4"/>
    </row>
    <row r="13" spans="1:10" ht="15.75" customHeight="1" x14ac:dyDescent="0.25">
      <c r="A13" s="3"/>
      <c r="B13" s="85"/>
      <c r="C13" s="86"/>
      <c r="D13" s="87"/>
      <c r="E13" s="87"/>
      <c r="F13" s="85" t="s">
        <v>6</v>
      </c>
      <c r="G13" s="86"/>
      <c r="H13" s="130">
        <f>SUM(H15/108*8)</f>
        <v>3333.3333333333335</v>
      </c>
      <c r="I13" s="131"/>
      <c r="J13" s="4"/>
    </row>
    <row r="14" spans="1:10" ht="15.75" customHeight="1" x14ac:dyDescent="0.25">
      <c r="A14" s="3"/>
      <c r="B14" s="77" t="s">
        <v>37</v>
      </c>
      <c r="C14" s="78"/>
      <c r="D14" s="92"/>
      <c r="E14" s="92"/>
      <c r="F14" s="85" t="s">
        <v>7</v>
      </c>
      <c r="G14" s="86"/>
      <c r="H14" s="130">
        <f>H15</f>
        <v>45000</v>
      </c>
      <c r="I14" s="131"/>
      <c r="J14" s="4"/>
    </row>
    <row r="15" spans="1:10" ht="15.75" customHeight="1" x14ac:dyDescent="0.25">
      <c r="A15" s="9"/>
      <c r="B15" s="95" t="s">
        <v>42</v>
      </c>
      <c r="C15" s="96"/>
      <c r="D15" s="156">
        <f>IF(B12="Bruto uurloon excl. vakantiegeld (berekent jaarsalaris na invullen contracturen onder kopje gewerkte uren)", D12*1.08,
IF(B12="Bruto uurloon excl. vakantiegeld (berekent jaarsalaris na invullen contracturen onder kopje gewerkte uren)", H22*D12,
H15/H22))</f>
        <v>24.03846153846154</v>
      </c>
      <c r="E15" s="102"/>
      <c r="F15" s="134" t="s">
        <v>7</v>
      </c>
      <c r="G15" s="135"/>
      <c r="H15" s="136">
        <f>IF(B12="Bruto jaarloon (incl. vakantiegeld)", D12,
IF(B12="Bruto maandloon (incl. vakantiegeld)", D12*12,
IF(B12="Bruto maandloon (excl. vakantiegeld)", D12*12*1.08,
IF(B12="Bruto uurloon excl. vakantiegeld (berekent jaarsalaris na invullen contracturen onder kopje gewerkte uren)", H22*D12*1.08,
IF(B12="Bruto uurloon incl. vakantiegeld (berekent jaarsalaris na invullen contracturen onder kopje gewerkte uren)", H22*D12, "")))))</f>
        <v>45000</v>
      </c>
      <c r="I15" s="137"/>
      <c r="J15" s="10"/>
    </row>
    <row r="16" spans="1:10" ht="15.75" customHeight="1" thickBot="1" x14ac:dyDescent="0.3">
      <c r="A16" s="9"/>
      <c r="B16" s="138" t="s">
        <v>43</v>
      </c>
      <c r="C16" s="138"/>
      <c r="D16" s="114">
        <f>D15/1.08</f>
        <v>22.257834757834758</v>
      </c>
      <c r="E16" s="115"/>
      <c r="F16" s="85"/>
      <c r="G16" s="86"/>
      <c r="H16" s="87"/>
      <c r="I16" s="87"/>
      <c r="J16" s="10"/>
    </row>
    <row r="17" spans="1:10" ht="15.75" customHeight="1" thickBot="1" x14ac:dyDescent="0.3">
      <c r="A17" s="3"/>
      <c r="B17" s="103" t="s">
        <v>8</v>
      </c>
      <c r="C17" s="104"/>
      <c r="D17" s="104"/>
      <c r="E17" s="104"/>
      <c r="F17" s="104"/>
      <c r="G17" s="104"/>
      <c r="H17" s="104"/>
      <c r="I17" s="105"/>
      <c r="J17" s="4"/>
    </row>
    <row r="18" spans="1:10" ht="15.75" customHeight="1" thickBot="1" x14ac:dyDescent="0.3">
      <c r="A18" s="9"/>
      <c r="B18" s="79" t="s">
        <v>16</v>
      </c>
      <c r="C18" s="80"/>
      <c r="D18" s="80"/>
      <c r="E18" s="80"/>
      <c r="F18" s="80"/>
      <c r="G18" s="80"/>
      <c r="H18" s="80"/>
      <c r="I18" s="81"/>
      <c r="J18" s="10"/>
    </row>
    <row r="19" spans="1:10" ht="15.75" customHeight="1" x14ac:dyDescent="0.25">
      <c r="A19" s="3"/>
      <c r="B19" s="153" t="s">
        <v>15</v>
      </c>
      <c r="C19" s="154"/>
      <c r="D19" s="152">
        <v>4</v>
      </c>
      <c r="E19" s="152"/>
      <c r="F19" s="155" t="s">
        <v>17</v>
      </c>
      <c r="G19" s="154"/>
      <c r="H19" s="152">
        <v>5</v>
      </c>
      <c r="I19" s="152"/>
      <c r="J19" s="4"/>
    </row>
    <row r="20" spans="1:10" ht="15.75" customHeight="1" x14ac:dyDescent="0.25">
      <c r="A20" s="3"/>
      <c r="B20" s="15"/>
      <c r="C20" s="34"/>
      <c r="D20" s="35"/>
      <c r="E20" s="36"/>
      <c r="F20" s="15"/>
      <c r="G20" s="34"/>
      <c r="H20" s="35"/>
      <c r="I20" s="36"/>
      <c r="J20" s="4"/>
    </row>
    <row r="21" spans="1:10" ht="15.75" customHeight="1" x14ac:dyDescent="0.25">
      <c r="A21" s="3"/>
      <c r="B21" s="83" t="s">
        <v>39</v>
      </c>
      <c r="C21" s="84"/>
      <c r="D21" s="82"/>
      <c r="E21" s="82"/>
      <c r="F21" s="77" t="s">
        <v>5</v>
      </c>
      <c r="G21" s="78"/>
      <c r="H21" s="111">
        <f>IF(B22="Aantal uren volgens contract per jaar", D22,
IF(B22="Uren volgens contract per maand", D22*12,
IF(B22="Aantal uren volgens contract per week", D22*52, "")))</f>
        <v>1872</v>
      </c>
      <c r="I21" s="111"/>
      <c r="J21" s="4"/>
    </row>
    <row r="22" spans="1:10" ht="15.75" customHeight="1" thickBot="1" x14ac:dyDescent="0.3">
      <c r="A22" s="3"/>
      <c r="B22" s="108" t="s">
        <v>11</v>
      </c>
      <c r="C22" s="109"/>
      <c r="D22" s="91">
        <v>36</v>
      </c>
      <c r="E22" s="91"/>
      <c r="F22" s="112" t="s">
        <v>95</v>
      </c>
      <c r="G22" s="113"/>
      <c r="H22" s="110">
        <f>H21</f>
        <v>1872</v>
      </c>
      <c r="I22" s="110"/>
      <c r="J22" s="4"/>
    </row>
    <row r="23" spans="1:10" ht="15.75" customHeight="1" thickBot="1" x14ac:dyDescent="0.3">
      <c r="A23" s="9"/>
      <c r="B23" s="103" t="s">
        <v>55</v>
      </c>
      <c r="C23" s="104"/>
      <c r="D23" s="104"/>
      <c r="E23" s="104"/>
      <c r="F23" s="104"/>
      <c r="G23" s="104"/>
      <c r="H23" s="104"/>
      <c r="I23" s="105"/>
      <c r="J23" s="10"/>
    </row>
    <row r="24" spans="1:10" ht="15.75" customHeight="1" thickBot="1" x14ac:dyDescent="0.3">
      <c r="A24" s="9"/>
      <c r="B24" s="88" t="s">
        <v>86</v>
      </c>
      <c r="C24" s="89"/>
      <c r="D24" s="89"/>
      <c r="E24" s="89"/>
      <c r="F24" s="89"/>
      <c r="G24" s="89"/>
      <c r="H24" s="89"/>
      <c r="I24" s="90"/>
      <c r="J24" s="10"/>
    </row>
    <row r="25" spans="1:10" ht="15.75" customHeight="1" thickBot="1" x14ac:dyDescent="0.3">
      <c r="A25" s="9"/>
      <c r="B25" s="88" t="s">
        <v>48</v>
      </c>
      <c r="C25" s="89"/>
      <c r="D25" s="89"/>
      <c r="E25" s="89"/>
      <c r="F25" s="89"/>
      <c r="G25" s="89"/>
      <c r="H25" s="89"/>
      <c r="I25" s="90"/>
      <c r="J25" s="10"/>
    </row>
    <row r="26" spans="1:10" ht="15.75" customHeight="1" x14ac:dyDescent="0.25">
      <c r="A26" s="9"/>
      <c r="B26" s="83" t="s">
        <v>39</v>
      </c>
      <c r="C26" s="84"/>
      <c r="D26" s="82"/>
      <c r="E26" s="82"/>
      <c r="F26" s="83" t="s">
        <v>22</v>
      </c>
      <c r="G26" s="84"/>
      <c r="H26" s="106"/>
      <c r="I26" s="107"/>
      <c r="J26" s="10"/>
    </row>
    <row r="27" spans="1:10" ht="15.75" customHeight="1" x14ac:dyDescent="0.25">
      <c r="A27" s="9"/>
      <c r="B27" s="22" t="str">
        <f>HYPERLINK("https://www.fysiopensioen.nl/de-pensioenregeling/premie-2025", "Pensioenpremie 2025 SPF")</f>
        <v>Pensioenpremie 2025 SPF</v>
      </c>
      <c r="C27" s="21"/>
      <c r="D27" s="93"/>
      <c r="E27" s="94"/>
      <c r="F27" s="85" t="s">
        <v>28</v>
      </c>
      <c r="G27" s="86"/>
      <c r="H27" s="91">
        <v>333</v>
      </c>
      <c r="I27" s="91"/>
      <c r="J27" s="10"/>
    </row>
    <row r="28" spans="1:10" ht="15.75" customHeight="1" x14ac:dyDescent="0.25">
      <c r="A28" s="9"/>
      <c r="B28" s="108" t="s">
        <v>19</v>
      </c>
      <c r="C28" s="109"/>
      <c r="D28" s="91">
        <v>3694</v>
      </c>
      <c r="E28" s="91"/>
      <c r="F28" s="11" t="s">
        <v>27</v>
      </c>
      <c r="G28" s="11"/>
      <c r="H28" s="91">
        <v>50</v>
      </c>
      <c r="I28" s="91"/>
      <c r="J28" s="10"/>
    </row>
    <row r="29" spans="1:10" ht="15.75" customHeight="1" x14ac:dyDescent="0.25">
      <c r="A29" s="9"/>
      <c r="B29" s="85"/>
      <c r="C29" s="86"/>
      <c r="D29" s="93"/>
      <c r="E29" s="94"/>
      <c r="F29" s="17" t="s">
        <v>5</v>
      </c>
      <c r="G29" s="21"/>
      <c r="H29" s="92"/>
      <c r="I29" s="92"/>
      <c r="J29" s="10"/>
    </row>
    <row r="30" spans="1:10" ht="15.75" customHeight="1" x14ac:dyDescent="0.25">
      <c r="A30" s="9"/>
      <c r="B30" s="85" t="s">
        <v>21</v>
      </c>
      <c r="C30" s="86"/>
      <c r="D30" s="91">
        <v>25</v>
      </c>
      <c r="E30" s="91"/>
      <c r="F30" s="11" t="s">
        <v>30</v>
      </c>
      <c r="G30" s="11"/>
      <c r="H30" s="101">
        <f>SUM(H27-(H27*H28/100))</f>
        <v>166.5</v>
      </c>
      <c r="I30" s="102"/>
      <c r="J30" s="10"/>
    </row>
    <row r="31" spans="1:10" ht="15.75" customHeight="1" x14ac:dyDescent="0.25">
      <c r="A31" s="9"/>
      <c r="B31" s="77" t="s">
        <v>5</v>
      </c>
      <c r="C31" s="78"/>
      <c r="D31" s="87"/>
      <c r="E31" s="87"/>
      <c r="F31" s="95" t="s">
        <v>58</v>
      </c>
      <c r="G31" s="96"/>
      <c r="H31" s="101">
        <f>SUM(H27*H28/100)</f>
        <v>166.5</v>
      </c>
      <c r="I31" s="102"/>
      <c r="J31" s="10"/>
    </row>
    <row r="32" spans="1:10" ht="15.75" customHeight="1" x14ac:dyDescent="0.25">
      <c r="A32" s="9"/>
      <c r="B32" s="85" t="s">
        <v>20</v>
      </c>
      <c r="C32" s="86"/>
      <c r="D32" s="87">
        <f>IF(B28="Pensioenpremie per maand", D28*12*(1-(D30/100)),
IF(B28="Pensioenpremie per jaar", D28*(1-(D30/100)), ""))</f>
        <v>2770.5</v>
      </c>
      <c r="E32" s="87"/>
      <c r="F32" s="95"/>
      <c r="G32" s="96"/>
      <c r="H32" s="97"/>
      <c r="I32" s="98"/>
      <c r="J32" s="10"/>
    </row>
    <row r="33" spans="1:10" ht="15.75" customHeight="1" x14ac:dyDescent="0.25">
      <c r="A33" s="9"/>
      <c r="B33" s="85" t="s">
        <v>56</v>
      </c>
      <c r="C33" s="86"/>
      <c r="D33" s="87">
        <f>IF(B28="Pensioenpremie per maand", D28*12*(D30/100),
IF(B28="Pensioenpremie per jaar", D28*(D30/100), ""))</f>
        <v>923.5</v>
      </c>
      <c r="E33" s="87"/>
      <c r="F33" s="77" t="s">
        <v>22</v>
      </c>
      <c r="G33" s="78"/>
      <c r="H33" s="93"/>
      <c r="I33" s="94"/>
      <c r="J33" s="10"/>
    </row>
    <row r="34" spans="1:10" ht="15.75" customHeight="1" x14ac:dyDescent="0.25">
      <c r="A34" s="9"/>
      <c r="B34" s="15"/>
      <c r="C34" s="34"/>
      <c r="D34" s="35"/>
      <c r="E34" s="36"/>
      <c r="F34" s="15" t="s">
        <v>29</v>
      </c>
      <c r="G34" s="34"/>
      <c r="H34" s="99">
        <v>105</v>
      </c>
      <c r="I34" s="100"/>
      <c r="J34" s="10"/>
    </row>
    <row r="35" spans="1:10" ht="15.75" customHeight="1" x14ac:dyDescent="0.25">
      <c r="A35" s="9"/>
      <c r="B35" s="77" t="s">
        <v>22</v>
      </c>
      <c r="C35" s="78"/>
      <c r="D35" s="93"/>
      <c r="E35" s="94"/>
      <c r="F35" s="11" t="s">
        <v>27</v>
      </c>
      <c r="G35" s="11"/>
      <c r="H35" s="91">
        <v>100</v>
      </c>
      <c r="I35" s="91"/>
      <c r="J35" s="10"/>
    </row>
    <row r="36" spans="1:10" ht="15.75" customHeight="1" x14ac:dyDescent="0.25">
      <c r="A36" s="9"/>
      <c r="B36" s="85" t="s">
        <v>26</v>
      </c>
      <c r="C36" s="86"/>
      <c r="D36" s="91">
        <v>85</v>
      </c>
      <c r="E36" s="91"/>
      <c r="F36" s="17" t="s">
        <v>5</v>
      </c>
      <c r="G36" s="21"/>
      <c r="H36" s="97"/>
      <c r="I36" s="98"/>
      <c r="J36" s="10"/>
    </row>
    <row r="37" spans="1:10" ht="15.75" customHeight="1" x14ac:dyDescent="0.25">
      <c r="A37" s="9"/>
      <c r="B37" s="11" t="s">
        <v>27</v>
      </c>
      <c r="C37" s="11"/>
      <c r="D37" s="91">
        <v>100</v>
      </c>
      <c r="E37" s="91"/>
      <c r="F37" s="11" t="s">
        <v>31</v>
      </c>
      <c r="G37" s="11"/>
      <c r="H37" s="101">
        <f>SUM(H34-(H34*H35/100))</f>
        <v>0</v>
      </c>
      <c r="I37" s="102"/>
      <c r="J37" s="10"/>
    </row>
    <row r="38" spans="1:10" ht="15.75" customHeight="1" x14ac:dyDescent="0.25">
      <c r="A38" s="9"/>
      <c r="B38" s="17" t="s">
        <v>5</v>
      </c>
      <c r="C38" s="21"/>
      <c r="D38" s="92"/>
      <c r="E38" s="92"/>
      <c r="F38" s="95" t="s">
        <v>59</v>
      </c>
      <c r="G38" s="96"/>
      <c r="H38" s="101">
        <f>SUM(H34*H35/100)</f>
        <v>105</v>
      </c>
      <c r="I38" s="102"/>
      <c r="J38" s="10"/>
    </row>
    <row r="39" spans="1:10" ht="15.75" customHeight="1" x14ac:dyDescent="0.25">
      <c r="A39" s="9"/>
      <c r="B39" s="11" t="s">
        <v>25</v>
      </c>
      <c r="C39" s="11"/>
      <c r="D39" s="101">
        <f>SUM(D36-(D36*D37/100))/5</f>
        <v>0</v>
      </c>
      <c r="E39" s="102"/>
      <c r="F39" s="95"/>
      <c r="G39" s="96"/>
      <c r="H39" s="97"/>
      <c r="I39" s="98"/>
      <c r="J39" s="10"/>
    </row>
    <row r="40" spans="1:10" ht="15.75" customHeight="1" x14ac:dyDescent="0.25">
      <c r="A40" s="9"/>
      <c r="B40" s="95" t="s">
        <v>56</v>
      </c>
      <c r="C40" s="96"/>
      <c r="D40" s="101">
        <f>SUM(D36*D37/100)/5</f>
        <v>17</v>
      </c>
      <c r="E40" s="102"/>
      <c r="F40" s="77" t="s">
        <v>22</v>
      </c>
      <c r="G40" s="78"/>
      <c r="H40" s="93"/>
      <c r="I40" s="94"/>
      <c r="J40" s="10"/>
    </row>
    <row r="41" spans="1:10" ht="15.75" customHeight="1" x14ac:dyDescent="0.25">
      <c r="A41" s="9"/>
      <c r="B41" s="15"/>
      <c r="C41" s="34"/>
      <c r="D41" s="35"/>
      <c r="E41" s="36"/>
      <c r="F41" s="11" t="s">
        <v>23</v>
      </c>
      <c r="G41" s="11"/>
      <c r="H41" s="99">
        <v>252</v>
      </c>
      <c r="I41" s="100"/>
      <c r="J41" s="10"/>
    </row>
    <row r="42" spans="1:10" ht="15.75" customHeight="1" x14ac:dyDescent="0.25">
      <c r="A42" s="9"/>
      <c r="B42" s="77" t="s">
        <v>22</v>
      </c>
      <c r="C42" s="78"/>
      <c r="D42" s="93"/>
      <c r="E42" s="94"/>
      <c r="F42" s="11" t="s">
        <v>27</v>
      </c>
      <c r="G42" s="11"/>
      <c r="H42" s="91">
        <v>100</v>
      </c>
      <c r="I42" s="91"/>
      <c r="J42" s="10"/>
    </row>
    <row r="43" spans="1:10" ht="15.75" customHeight="1" x14ac:dyDescent="0.25">
      <c r="A43" s="9"/>
      <c r="B43" s="85" t="s">
        <v>32</v>
      </c>
      <c r="C43" s="85"/>
      <c r="D43" s="91">
        <v>750</v>
      </c>
      <c r="E43" s="91"/>
      <c r="F43" s="17" t="s">
        <v>5</v>
      </c>
      <c r="G43" s="21"/>
      <c r="H43" s="97"/>
      <c r="I43" s="98"/>
      <c r="J43" s="10"/>
    </row>
    <row r="44" spans="1:10" ht="15.75" customHeight="1" x14ac:dyDescent="0.25">
      <c r="A44" s="9"/>
      <c r="B44" s="11" t="s">
        <v>27</v>
      </c>
      <c r="C44" s="11"/>
      <c r="D44" s="91">
        <v>100</v>
      </c>
      <c r="E44" s="91"/>
      <c r="F44" s="11" t="s">
        <v>24</v>
      </c>
      <c r="G44" s="11"/>
      <c r="H44" s="101">
        <f>SUM(H41-(H41*H42/100))</f>
        <v>0</v>
      </c>
      <c r="I44" s="102"/>
      <c r="J44" s="10"/>
    </row>
    <row r="45" spans="1:10" ht="15.75" customHeight="1" x14ac:dyDescent="0.25">
      <c r="A45" s="9"/>
      <c r="B45" s="17" t="s">
        <v>5</v>
      </c>
      <c r="C45" s="21"/>
      <c r="D45" s="35"/>
      <c r="E45" s="36"/>
      <c r="F45" s="95" t="s">
        <v>60</v>
      </c>
      <c r="G45" s="96"/>
      <c r="H45" s="101">
        <f>SUM(H41*H42/100)</f>
        <v>252</v>
      </c>
      <c r="I45" s="102"/>
      <c r="J45" s="10"/>
    </row>
    <row r="46" spans="1:10" ht="15.75" customHeight="1" x14ac:dyDescent="0.25">
      <c r="A46" s="9"/>
      <c r="B46" s="11" t="s">
        <v>33</v>
      </c>
      <c r="C46" s="11"/>
      <c r="D46" s="37">
        <f>SUM(D43-(D43*D44/100))</f>
        <v>0</v>
      </c>
      <c r="E46" s="38"/>
      <c r="F46" s="15"/>
      <c r="G46" s="34"/>
      <c r="H46" s="35"/>
      <c r="I46" s="36"/>
      <c r="J46" s="10"/>
    </row>
    <row r="47" spans="1:10" ht="15.75" customHeight="1" x14ac:dyDescent="0.25">
      <c r="A47" s="9"/>
      <c r="B47" s="15" t="s">
        <v>57</v>
      </c>
      <c r="C47" s="34"/>
      <c r="D47" s="37">
        <f>SUM(D43*D44/100)</f>
        <v>750</v>
      </c>
      <c r="E47" s="36"/>
      <c r="F47" s="17" t="s">
        <v>5</v>
      </c>
      <c r="G47" s="21"/>
      <c r="H47" s="45"/>
      <c r="I47" s="46"/>
      <c r="J47" s="10"/>
    </row>
    <row r="48" spans="1:10" ht="15.75" customHeight="1" x14ac:dyDescent="0.25">
      <c r="A48" s="9"/>
      <c r="B48" s="15"/>
      <c r="C48" s="34"/>
      <c r="D48" s="35"/>
      <c r="E48" s="36"/>
      <c r="F48" s="11" t="s">
        <v>71</v>
      </c>
      <c r="G48" s="11"/>
      <c r="H48" s="45">
        <f>H19*D19</f>
        <v>20</v>
      </c>
      <c r="I48" s="46"/>
      <c r="J48" s="10"/>
    </row>
    <row r="49" spans="1:10" ht="15.75" customHeight="1" x14ac:dyDescent="0.25">
      <c r="A49" s="9"/>
      <c r="B49" s="77" t="s">
        <v>22</v>
      </c>
      <c r="C49" s="78"/>
      <c r="D49" s="45"/>
      <c r="E49" s="46"/>
      <c r="F49" s="18" t="s">
        <v>68</v>
      </c>
      <c r="G49" s="19"/>
      <c r="H49" s="45">
        <f>4*D19</f>
        <v>16</v>
      </c>
      <c r="I49" s="46"/>
      <c r="J49" s="10"/>
    </row>
    <row r="50" spans="1:10" ht="15.75" customHeight="1" x14ac:dyDescent="0.25">
      <c r="A50" s="9"/>
      <c r="B50" s="11" t="s">
        <v>65</v>
      </c>
      <c r="C50" s="11"/>
      <c r="D50" s="91">
        <v>15</v>
      </c>
      <c r="E50" s="91"/>
      <c r="F50" s="18" t="s">
        <v>70</v>
      </c>
      <c r="G50" s="19"/>
      <c r="H50" s="45">
        <f>H48-H49</f>
        <v>4</v>
      </c>
      <c r="I50" s="46"/>
      <c r="J50" s="10"/>
    </row>
    <row r="51" spans="1:10" ht="15.75" customHeight="1" x14ac:dyDescent="0.25">
      <c r="A51" s="9"/>
      <c r="B51" s="18" t="s">
        <v>62</v>
      </c>
      <c r="C51" s="19"/>
      <c r="D51" s="91">
        <v>0.23</v>
      </c>
      <c r="E51" s="91"/>
      <c r="F51" s="18" t="s">
        <v>69</v>
      </c>
      <c r="G51" s="19"/>
      <c r="H51" s="47">
        <f>H14/((52-H19)*D19)*H50</f>
        <v>957.44680851063833</v>
      </c>
      <c r="I51" s="46"/>
      <c r="J51" s="10"/>
    </row>
    <row r="52" spans="1:10" ht="15.75" customHeight="1" x14ac:dyDescent="0.25">
      <c r="A52" s="9"/>
      <c r="B52" s="18" t="s">
        <v>66</v>
      </c>
      <c r="C52" s="19"/>
      <c r="D52" s="99">
        <v>35</v>
      </c>
      <c r="E52" s="100"/>
      <c r="F52" s="18"/>
      <c r="G52" s="19"/>
      <c r="H52" s="47"/>
      <c r="I52" s="46"/>
      <c r="J52" s="10"/>
    </row>
    <row r="53" spans="1:10" ht="15.75" customHeight="1" x14ac:dyDescent="0.25">
      <c r="A53" s="9"/>
      <c r="B53" s="18" t="s">
        <v>61</v>
      </c>
      <c r="C53" s="19"/>
      <c r="D53" s="45">
        <f>IF(D52=0, D50*((52-H19)*D19*2)*D51, IF(D50&lt;D52, D50*((52-H19)*D19*2)*D51, D52*((52-H19)*D19*2)*D51))</f>
        <v>1297.2</v>
      </c>
      <c r="E53" s="46"/>
      <c r="F53" s="15" t="s">
        <v>82</v>
      </c>
      <c r="G53" s="34"/>
      <c r="H53" s="50">
        <v>1</v>
      </c>
      <c r="I53" s="51"/>
      <c r="J53" s="10"/>
    </row>
    <row r="54" spans="1:10" ht="15.75" customHeight="1" x14ac:dyDescent="0.25">
      <c r="A54" s="9"/>
      <c r="B54" s="18" t="s">
        <v>63</v>
      </c>
      <c r="C54" s="19"/>
      <c r="D54" s="45">
        <f>D50 * (52-H19) * D19*2</f>
        <v>5640</v>
      </c>
      <c r="E54" s="46"/>
      <c r="F54" s="18" t="s">
        <v>83</v>
      </c>
      <c r="G54" s="19"/>
      <c r="H54" s="47">
        <f>H14*H53/100</f>
        <v>450</v>
      </c>
      <c r="I54" s="46"/>
      <c r="J54" s="10"/>
    </row>
    <row r="55" spans="1:10" ht="15.75" customHeight="1" x14ac:dyDescent="0.25">
      <c r="A55" s="9"/>
      <c r="B55" s="18" t="s">
        <v>64</v>
      </c>
      <c r="C55" s="19"/>
      <c r="D55" s="45">
        <f>IF(D52=0, D54, IF(D50&lt;D52, D54, D52*(52-H19)*D19*2))</f>
        <v>5640</v>
      </c>
      <c r="E55" s="46"/>
      <c r="F55" s="18"/>
      <c r="G55" s="19"/>
      <c r="H55" s="45"/>
      <c r="I55" s="46"/>
      <c r="J55" s="10"/>
    </row>
    <row r="56" spans="1:10" ht="15.75" customHeight="1" x14ac:dyDescent="0.25">
      <c r="A56" s="9"/>
      <c r="B56" s="18"/>
      <c r="C56" s="19"/>
      <c r="D56" s="45"/>
      <c r="E56" s="46"/>
      <c r="F56" s="17" t="s">
        <v>5</v>
      </c>
      <c r="G56" s="21"/>
      <c r="H56" s="45"/>
      <c r="I56" s="46"/>
      <c r="J56" s="10"/>
    </row>
    <row r="57" spans="1:10" ht="15.75" customHeight="1" x14ac:dyDescent="0.25">
      <c r="A57" s="9"/>
      <c r="B57" s="77" t="s">
        <v>22</v>
      </c>
      <c r="C57" s="78"/>
      <c r="D57" s="45"/>
      <c r="E57" s="46"/>
      <c r="F57" s="20" t="s">
        <v>81</v>
      </c>
      <c r="G57" s="20"/>
      <c r="H57" s="157">
        <f>SUM(H51+H45+H38+H31+D33+D40+D47+D53+H54+D59)</f>
        <v>5098.646808510638</v>
      </c>
      <c r="I57" s="158"/>
      <c r="J57" s="10"/>
    </row>
    <row r="58" spans="1:10" ht="15.75" customHeight="1" x14ac:dyDescent="0.25">
      <c r="A58" s="9"/>
      <c r="B58" s="75" t="s">
        <v>87</v>
      </c>
      <c r="C58" s="76"/>
      <c r="D58" s="50">
        <v>15</v>
      </c>
      <c r="E58" s="51"/>
      <c r="F58" s="15" t="s">
        <v>79</v>
      </c>
      <c r="G58" s="34"/>
      <c r="H58" s="48">
        <f>H44+H37+H30+D32+D39+D46</f>
        <v>2937</v>
      </c>
      <c r="I58" s="49"/>
      <c r="J58" s="10"/>
    </row>
    <row r="59" spans="1:10" ht="15.75" customHeight="1" thickBot="1" x14ac:dyDescent="0.3">
      <c r="A59" s="9"/>
      <c r="B59" s="18" t="s">
        <v>84</v>
      </c>
      <c r="C59" s="19"/>
      <c r="D59" s="45">
        <f>D58*12</f>
        <v>180</v>
      </c>
      <c r="E59" s="46"/>
      <c r="F59" s="18"/>
      <c r="G59" s="19"/>
      <c r="H59" s="45"/>
      <c r="I59" s="46"/>
      <c r="J59" s="10"/>
    </row>
    <row r="60" spans="1:10" ht="15.75" customHeight="1" thickBot="1" x14ac:dyDescent="0.3">
      <c r="A60" s="9"/>
      <c r="B60" s="159" t="s">
        <v>89</v>
      </c>
      <c r="C60" s="160"/>
      <c r="D60" s="160"/>
      <c r="E60" s="160"/>
      <c r="F60" s="160"/>
      <c r="G60" s="160"/>
      <c r="H60" s="160"/>
      <c r="I60" s="161"/>
      <c r="J60" s="10"/>
    </row>
    <row r="61" spans="1:10" ht="15.75" customHeight="1" thickBot="1" x14ac:dyDescent="0.3">
      <c r="A61" s="9"/>
      <c r="B61" s="88" t="s">
        <v>74</v>
      </c>
      <c r="C61" s="89"/>
      <c r="D61" s="89"/>
      <c r="E61" s="89"/>
      <c r="F61" s="89"/>
      <c r="G61" s="89"/>
      <c r="H61" s="89"/>
      <c r="I61" s="90"/>
      <c r="J61" s="10"/>
    </row>
    <row r="62" spans="1:10" ht="15.75" customHeight="1" thickBot="1" x14ac:dyDescent="0.3">
      <c r="A62" s="9"/>
      <c r="B62" s="32"/>
      <c r="C62" s="33"/>
      <c r="D62" s="33" t="s">
        <v>85</v>
      </c>
      <c r="E62" s="33"/>
      <c r="F62" s="33"/>
      <c r="G62" s="33"/>
      <c r="H62" s="33"/>
      <c r="I62" s="52"/>
      <c r="J62" s="10"/>
    </row>
    <row r="63" spans="1:10" ht="15.75" customHeight="1" x14ac:dyDescent="0.25">
      <c r="A63" s="9"/>
      <c r="B63" s="18" t="s">
        <v>75</v>
      </c>
      <c r="C63" s="19"/>
      <c r="D63" s="37">
        <f>H63*(D19-2)*0.7</f>
        <v>242.30769230769226</v>
      </c>
      <c r="E63" s="38"/>
      <c r="F63" s="11" t="s">
        <v>72</v>
      </c>
      <c r="G63" s="11"/>
      <c r="H63" s="37">
        <f>H14/((52-L19)*H19)</f>
        <v>173.07692307692307</v>
      </c>
      <c r="I63" s="38"/>
      <c r="J63" s="10"/>
    </row>
    <row r="64" spans="1:10" ht="15.75" customHeight="1" x14ac:dyDescent="0.25">
      <c r="A64" s="9"/>
      <c r="B64" s="18" t="s">
        <v>76</v>
      </c>
      <c r="C64" s="19"/>
      <c r="D64" s="47">
        <f>H63*D19</f>
        <v>692.30769230769226</v>
      </c>
      <c r="E64" s="36"/>
      <c r="F64" s="18" t="s">
        <v>73</v>
      </c>
      <c r="G64" s="19"/>
      <c r="H64" s="37">
        <f>H63*0.3</f>
        <v>51.92307692307692</v>
      </c>
      <c r="I64" s="36"/>
      <c r="J64" s="10"/>
    </row>
    <row r="65" spans="1:10" ht="15.75" customHeight="1" thickBot="1" x14ac:dyDescent="0.3">
      <c r="A65" s="9"/>
      <c r="B65" s="18" t="s">
        <v>77</v>
      </c>
      <c r="C65" s="19"/>
      <c r="D65" s="47">
        <f>D64-D63</f>
        <v>450</v>
      </c>
      <c r="E65" s="36"/>
      <c r="F65" s="18"/>
      <c r="G65" s="19"/>
      <c r="H65" s="45"/>
      <c r="I65" s="36"/>
      <c r="J65" s="10"/>
    </row>
    <row r="66" spans="1:10" ht="15.75" customHeight="1" thickBot="1" x14ac:dyDescent="0.3">
      <c r="A66" s="9"/>
      <c r="B66" s="103" t="s">
        <v>78</v>
      </c>
      <c r="C66" s="104"/>
      <c r="D66" s="104"/>
      <c r="E66" s="104"/>
      <c r="F66" s="104"/>
      <c r="G66" s="104"/>
      <c r="H66" s="104"/>
      <c r="I66" s="105"/>
      <c r="J66" s="10"/>
    </row>
    <row r="67" spans="1:10" ht="15.75" customHeight="1" x14ac:dyDescent="0.25">
      <c r="A67" s="9"/>
      <c r="B67" s="83" t="s">
        <v>5</v>
      </c>
      <c r="C67" s="84"/>
      <c r="D67" s="97"/>
      <c r="E67" s="98"/>
      <c r="F67" s="83" t="s">
        <v>93</v>
      </c>
      <c r="G67" s="84"/>
      <c r="H67" s="97"/>
      <c r="I67" s="98"/>
      <c r="J67" s="10"/>
    </row>
    <row r="68" spans="1:10" ht="15.75" customHeight="1" x14ac:dyDescent="0.25">
      <c r="A68" s="9"/>
      <c r="B68" s="85" t="s">
        <v>7</v>
      </c>
      <c r="C68" s="86"/>
      <c r="D68" s="101">
        <f>H15</f>
        <v>45000</v>
      </c>
      <c r="E68" s="98"/>
      <c r="F68" s="83" t="s">
        <v>5</v>
      </c>
      <c r="G68" s="84"/>
      <c r="H68" s="101"/>
      <c r="I68" s="102"/>
      <c r="J68" s="10"/>
    </row>
    <row r="69" spans="1:10" ht="15.75" customHeight="1" x14ac:dyDescent="0.25">
      <c r="A69" s="9"/>
      <c r="B69" s="85" t="s">
        <v>79</v>
      </c>
      <c r="C69" s="86"/>
      <c r="D69" s="101">
        <f>H58</f>
        <v>2937</v>
      </c>
      <c r="E69" s="102"/>
      <c r="F69" s="85" t="s">
        <v>94</v>
      </c>
      <c r="G69" s="86"/>
      <c r="H69" s="101">
        <f>D69/D68*100</f>
        <v>6.5266666666666664</v>
      </c>
      <c r="I69" s="102"/>
      <c r="J69" s="10"/>
    </row>
    <row r="70" spans="1:10" ht="15.75" customHeight="1" thickBot="1" x14ac:dyDescent="0.3">
      <c r="A70" s="9"/>
      <c r="B70" s="20" t="s">
        <v>81</v>
      </c>
      <c r="C70" s="20"/>
      <c r="D70" s="101">
        <f>H57</f>
        <v>5098.646808510638</v>
      </c>
      <c r="E70" s="98"/>
      <c r="F70" s="85" t="s">
        <v>92</v>
      </c>
      <c r="G70" s="86"/>
      <c r="H70" s="101">
        <f>D70/D68*100</f>
        <v>11.330326241134751</v>
      </c>
      <c r="I70" s="102"/>
      <c r="J70" s="10"/>
    </row>
    <row r="71" spans="1:10" ht="15.75" customHeight="1" thickBot="1" x14ac:dyDescent="0.3">
      <c r="A71" s="9"/>
      <c r="B71" s="54"/>
      <c r="C71" s="55"/>
      <c r="D71" s="55" t="s">
        <v>80</v>
      </c>
      <c r="E71" s="55"/>
      <c r="F71" s="55"/>
      <c r="G71" s="55"/>
      <c r="H71" s="55"/>
      <c r="I71" s="56"/>
      <c r="J71" s="10"/>
    </row>
    <row r="72" spans="1:10" ht="15.75" customHeight="1" thickBot="1" x14ac:dyDescent="0.3">
      <c r="A72" s="5"/>
      <c r="B72" s="6"/>
      <c r="C72" s="6"/>
      <c r="D72" s="6"/>
      <c r="E72" s="6"/>
      <c r="F72" s="6"/>
      <c r="G72" s="31"/>
      <c r="H72" s="31"/>
      <c r="I72" s="31"/>
      <c r="J72" s="7"/>
    </row>
    <row r="73" spans="1:10" ht="15.75" customHeight="1" x14ac:dyDescent="0.25">
      <c r="G73" s="143" t="s">
        <v>51</v>
      </c>
      <c r="H73" s="144"/>
      <c r="I73" s="145"/>
    </row>
    <row r="74" spans="1:10" ht="15.75" customHeight="1" thickBot="1" x14ac:dyDescent="0.3">
      <c r="G74" s="146" t="str">
        <f>HYPERLINK("https://fysiovakbond.nl/wp-content/uploads/2025/06/Factsheet-arbeidsvoorwaarden-vergelijken-Salarisonderzoek-2024.pdf", "Arbeidsvoorwaarden vergelijken Salarisonderzoek 2024")</f>
        <v>Arbeidsvoorwaarden vergelijken Salarisonderzoek 2024</v>
      </c>
      <c r="H74" s="147"/>
      <c r="I74" s="148"/>
    </row>
    <row r="75" spans="1:10" ht="15.75" customHeight="1" x14ac:dyDescent="0.25">
      <c r="G75" s="143" t="s">
        <v>52</v>
      </c>
      <c r="H75" s="144"/>
      <c r="I75" s="145"/>
    </row>
    <row r="76" spans="1:10" ht="15.75" customHeight="1" thickBot="1" x14ac:dyDescent="0.3">
      <c r="G76" s="149" t="str">
        <f>HYPERLINK("https://fysiovakbond.nl/wp-content/uploads/2025/06/Fysiovakbond-FDV-Arbeidsvoorwaarden-in-de-eerstelijns-fysiotherapie-2024.pdf", "Arbeidsvoorwaarden eerstelijnsfysiotherapie 2024")</f>
        <v>Arbeidsvoorwaarden eerstelijnsfysiotherapie 2024</v>
      </c>
      <c r="H76" s="150"/>
      <c r="I76" s="151"/>
    </row>
    <row r="77" spans="1:10" ht="15.75" customHeight="1" x14ac:dyDescent="0.25"/>
    <row r="78" spans="1:10" ht="15.75" customHeight="1" x14ac:dyDescent="0.25"/>
    <row r="79" spans="1:10" ht="15.75" customHeight="1" x14ac:dyDescent="0.25"/>
    <row r="80" spans="1:1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</sheetData>
  <sheetProtection selectLockedCells="1"/>
  <mergeCells count="142">
    <mergeCell ref="H45:I45"/>
    <mergeCell ref="F45:G45"/>
    <mergeCell ref="D52:E52"/>
    <mergeCell ref="B57:C57"/>
    <mergeCell ref="B60:I60"/>
    <mergeCell ref="G73:I73"/>
    <mergeCell ref="G74:I74"/>
    <mergeCell ref="G75:I75"/>
    <mergeCell ref="G76:I76"/>
    <mergeCell ref="B25:I25"/>
    <mergeCell ref="B23:I23"/>
    <mergeCell ref="F26:G26"/>
    <mergeCell ref="F27:G27"/>
    <mergeCell ref="F68:G68"/>
    <mergeCell ref="F67:G67"/>
    <mergeCell ref="B29:C29"/>
    <mergeCell ref="D29:E29"/>
    <mergeCell ref="H39:I39"/>
    <mergeCell ref="H41:I41"/>
    <mergeCell ref="B49:C49"/>
    <mergeCell ref="D50:E50"/>
    <mergeCell ref="D51:E51"/>
    <mergeCell ref="B61:I61"/>
    <mergeCell ref="H57:I57"/>
    <mergeCell ref="D44:E44"/>
    <mergeCell ref="H40:I40"/>
    <mergeCell ref="H43:I43"/>
    <mergeCell ref="H44:I44"/>
    <mergeCell ref="D43:E43"/>
    <mergeCell ref="B8:I8"/>
    <mergeCell ref="E6:G6"/>
    <mergeCell ref="B6:D6"/>
    <mergeCell ref="B10:I10"/>
    <mergeCell ref="B12:C12"/>
    <mergeCell ref="D12:E12"/>
    <mergeCell ref="B17:I17"/>
    <mergeCell ref="H14:I14"/>
    <mergeCell ref="F11:G11"/>
    <mergeCell ref="H12:I12"/>
    <mergeCell ref="F12:G12"/>
    <mergeCell ref="D13:E13"/>
    <mergeCell ref="F13:G13"/>
    <mergeCell ref="H13:I13"/>
    <mergeCell ref="F14:G14"/>
    <mergeCell ref="F15:G15"/>
    <mergeCell ref="H15:I15"/>
    <mergeCell ref="B16:C16"/>
    <mergeCell ref="B13:C13"/>
    <mergeCell ref="B11:C11"/>
    <mergeCell ref="D11:E11"/>
    <mergeCell ref="H11:I11"/>
    <mergeCell ref="D14:E14"/>
    <mergeCell ref="D15:E15"/>
    <mergeCell ref="B2:I2"/>
    <mergeCell ref="B3:D3"/>
    <mergeCell ref="E3:G3"/>
    <mergeCell ref="B4:D4"/>
    <mergeCell ref="E4:G4"/>
    <mergeCell ref="B5:D5"/>
    <mergeCell ref="E5:G5"/>
    <mergeCell ref="B7:D7"/>
    <mergeCell ref="E7:G7"/>
    <mergeCell ref="H22:I22"/>
    <mergeCell ref="F21:G21"/>
    <mergeCell ref="H21:I21"/>
    <mergeCell ref="F22:G22"/>
    <mergeCell ref="D16:E16"/>
    <mergeCell ref="B15:C15"/>
    <mergeCell ref="B22:C22"/>
    <mergeCell ref="D22:E22"/>
    <mergeCell ref="B9:I9"/>
    <mergeCell ref="H19:I19"/>
    <mergeCell ref="B19:C19"/>
    <mergeCell ref="D19:E19"/>
    <mergeCell ref="F19:G19"/>
    <mergeCell ref="B40:C40"/>
    <mergeCell ref="H38:I38"/>
    <mergeCell ref="H37:I37"/>
    <mergeCell ref="D31:E31"/>
    <mergeCell ref="B32:C32"/>
    <mergeCell ref="D32:E32"/>
    <mergeCell ref="B33:C33"/>
    <mergeCell ref="D33:E33"/>
    <mergeCell ref="F33:G33"/>
    <mergeCell ref="B68:C68"/>
    <mergeCell ref="D68:E68"/>
    <mergeCell ref="H68:I68"/>
    <mergeCell ref="D69:E69"/>
    <mergeCell ref="H69:I69"/>
    <mergeCell ref="D70:E70"/>
    <mergeCell ref="H70:I70"/>
    <mergeCell ref="B69:C69"/>
    <mergeCell ref="F69:G69"/>
    <mergeCell ref="F70:G70"/>
    <mergeCell ref="B66:I66"/>
    <mergeCell ref="B67:C67"/>
    <mergeCell ref="D67:E67"/>
    <mergeCell ref="H67:I67"/>
    <mergeCell ref="B42:C42"/>
    <mergeCell ref="F40:G40"/>
    <mergeCell ref="H26:I26"/>
    <mergeCell ref="H30:I30"/>
    <mergeCell ref="H31:I31"/>
    <mergeCell ref="H33:I33"/>
    <mergeCell ref="H29:I29"/>
    <mergeCell ref="D30:E30"/>
    <mergeCell ref="H36:I36"/>
    <mergeCell ref="B26:C26"/>
    <mergeCell ref="D26:E26"/>
    <mergeCell ref="B28:C28"/>
    <mergeCell ref="D28:E28"/>
    <mergeCell ref="H28:I28"/>
    <mergeCell ref="H27:I27"/>
    <mergeCell ref="H35:I35"/>
    <mergeCell ref="D35:E35"/>
    <mergeCell ref="B30:C30"/>
    <mergeCell ref="B31:C31"/>
    <mergeCell ref="B43:C43"/>
    <mergeCell ref="B58:C58"/>
    <mergeCell ref="B14:C14"/>
    <mergeCell ref="B18:I18"/>
    <mergeCell ref="D21:E21"/>
    <mergeCell ref="B21:C21"/>
    <mergeCell ref="F16:G16"/>
    <mergeCell ref="H16:I16"/>
    <mergeCell ref="B24:I24"/>
    <mergeCell ref="B36:C36"/>
    <mergeCell ref="D36:E36"/>
    <mergeCell ref="D37:E37"/>
    <mergeCell ref="D38:E38"/>
    <mergeCell ref="B35:C35"/>
    <mergeCell ref="D27:E27"/>
    <mergeCell ref="H42:I42"/>
    <mergeCell ref="F32:G32"/>
    <mergeCell ref="H32:I32"/>
    <mergeCell ref="H34:I34"/>
    <mergeCell ref="F39:G39"/>
    <mergeCell ref="F31:G31"/>
    <mergeCell ref="D39:E39"/>
    <mergeCell ref="D40:E40"/>
    <mergeCell ref="D42:E42"/>
    <mergeCell ref="F38:G38"/>
  </mergeCells>
  <hyperlinks>
    <hyperlink ref="G76" r:id="rId1" display="https://fysiovakbond.nl/cao/salaristabel-per-1-1-25-volgens-de-concept-cao-eerstelijns-fysiotherapie/ " xr:uid="{57EA6741-5D81-4EFD-B2AB-935C0BA73068}"/>
    <hyperlink ref="E6" r:id="rId2" display="https://fysiovakbond.nl/cao/salaristabel-per-1-1-25-volgens-de-concept-cao-eerstelijns-fysiotherapie/ " xr:uid="{0F569244-D4F5-4B74-8568-C9380FABC53F}"/>
  </hyperlinks>
  <pageMargins left="0.7" right="0.7" top="0.75" bottom="0.75" header="0" footer="0"/>
  <pageSetup paperSize="9" orientation="landscape"/>
  <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49BE2814-17FD-4EF1-9B99-06D18028DA0A}">
          <x14:formula1>
            <xm:f>'Data Sheet'!$C$2:$C$6</xm:f>
          </x14:formula1>
          <xm:sqref>B12:C12</xm:sqref>
        </x14:dataValidation>
        <x14:dataValidation type="list" allowBlank="1" showInputMessage="1" showErrorMessage="1" xr:uid="{C35B4AD1-85E9-4758-A66F-C308A1B13F86}">
          <x14:formula1>
            <xm:f>'Data Sheet'!$E$2:$E$4</xm:f>
          </x14:formula1>
          <xm:sqref>B22:C22</xm:sqref>
        </x14:dataValidation>
        <x14:dataValidation type="list" allowBlank="1" showInputMessage="1" showErrorMessage="1" xr:uid="{54994FC8-0913-4B18-A3A8-5825FB1BEEAE}">
          <x14:formula1>
            <xm:f>'Data Sheet'!$B$30:$B$31</xm:f>
          </x14:formula1>
          <xm:sqref>B28:C28</xm:sqref>
        </x14:dataValidation>
        <x14:dataValidation type="list" allowBlank="1" showInputMessage="1" showErrorMessage="1" xr:uid="{CD09722A-E31F-401D-9897-ADC13B489F8E}">
          <x14:formula1>
            <xm:f>'Data Sheet'!$B$13:$B$14</xm:f>
          </x14:formula1>
          <xm:sqref>B58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EA122-2319-414B-B3E0-D2D45BC43E97}">
  <dimension ref="A1:M97"/>
  <sheetViews>
    <sheetView workbookViewId="0">
      <selection activeCell="E3" sqref="E3:G3"/>
    </sheetView>
  </sheetViews>
  <sheetFormatPr defaultRowHeight="15.75" x14ac:dyDescent="0.25"/>
  <cols>
    <col min="1" max="1" width="2.75" customWidth="1"/>
    <col min="2" max="2" width="37.25" customWidth="1"/>
    <col min="3" max="3" width="17.75" customWidth="1"/>
    <col min="4" max="4" width="14.25" customWidth="1"/>
    <col min="6" max="6" width="32.875" customWidth="1"/>
    <col min="7" max="7" width="12.875" customWidth="1"/>
    <col min="8" max="8" width="11.625" customWidth="1"/>
    <col min="9" max="9" width="17.875" customWidth="1"/>
    <col min="10" max="10" width="4.5" customWidth="1"/>
  </cols>
  <sheetData>
    <row r="1" spans="1:10" ht="16.5" thickBot="1" x14ac:dyDescent="0.3">
      <c r="A1" s="1"/>
      <c r="B1" s="23"/>
      <c r="C1" s="23"/>
      <c r="D1" s="23"/>
      <c r="E1" s="23"/>
      <c r="F1" s="23"/>
      <c r="G1" s="23"/>
      <c r="H1" s="23"/>
      <c r="I1" s="23"/>
      <c r="J1" s="2"/>
    </row>
    <row r="2" spans="1:10" ht="16.5" thickBot="1" x14ac:dyDescent="0.3">
      <c r="A2" s="3"/>
      <c r="B2" s="116" t="s">
        <v>50</v>
      </c>
      <c r="C2" s="117"/>
      <c r="D2" s="117"/>
      <c r="E2" s="117"/>
      <c r="F2" s="117"/>
      <c r="G2" s="117"/>
      <c r="H2" s="117"/>
      <c r="I2" s="118"/>
      <c r="J2" s="4"/>
    </row>
    <row r="3" spans="1:10" x14ac:dyDescent="0.25">
      <c r="A3" s="3"/>
      <c r="B3" s="119" t="s">
        <v>53</v>
      </c>
      <c r="C3" s="120"/>
      <c r="D3" s="121"/>
      <c r="E3" s="119" t="s">
        <v>120</v>
      </c>
      <c r="F3" s="120"/>
      <c r="G3" s="121"/>
      <c r="H3" s="24"/>
      <c r="I3" s="25"/>
      <c r="J3" s="4"/>
    </row>
    <row r="4" spans="1:10" ht="16.5" thickBot="1" x14ac:dyDescent="0.3">
      <c r="A4" s="3"/>
      <c r="B4" s="122" t="s">
        <v>54</v>
      </c>
      <c r="C4" s="123"/>
      <c r="D4" s="124"/>
      <c r="E4" s="125" t="str">
        <f>HYPERLINK("https://fysiovakbond.nl/wp-content/uploads/2025/06/Factsheet-arbeidsvoorwaarden-vergelijken-Salarisonderzoek-2024.pdf", "Arbeidsvoorwaarden vergelijken Salarisonderzoek 2024")</f>
        <v>Arbeidsvoorwaarden vergelijken Salarisonderzoek 2024</v>
      </c>
      <c r="F4" s="123"/>
      <c r="G4" s="124"/>
      <c r="H4" s="26"/>
      <c r="I4" s="27"/>
      <c r="J4" s="4"/>
    </row>
    <row r="5" spans="1:10" x14ac:dyDescent="0.25">
      <c r="A5" s="3"/>
      <c r="B5" s="122" t="s">
        <v>119</v>
      </c>
      <c r="C5" s="123"/>
      <c r="D5" s="124"/>
      <c r="E5" s="119" t="s">
        <v>52</v>
      </c>
      <c r="F5" s="120"/>
      <c r="G5" s="121"/>
      <c r="H5" s="26"/>
      <c r="I5" s="28"/>
      <c r="J5" s="4"/>
    </row>
    <row r="6" spans="1:10" x14ac:dyDescent="0.25">
      <c r="A6" s="9"/>
      <c r="B6" s="122" t="s">
        <v>90</v>
      </c>
      <c r="C6" s="123"/>
      <c r="D6" s="124"/>
      <c r="E6" s="125" t="str">
        <f>HYPERLINK("https://fysiovakbond.nl/wp-content/uploads/2025/06/Fysiovakbond-FDV-Arbeidsvoorwaarden-in-de-eerstelijns-fysiotherapie-2024.pdf", "Arbeidsvoorwaarden eerstelijnsfysiotherapie 2024")</f>
        <v>Arbeidsvoorwaarden eerstelijnsfysiotherapie 2024</v>
      </c>
      <c r="F6" s="123"/>
      <c r="G6" s="124"/>
      <c r="H6" s="26"/>
      <c r="I6" s="28"/>
      <c r="J6" s="10"/>
    </row>
    <row r="7" spans="1:10" ht="16.5" thickBot="1" x14ac:dyDescent="0.3">
      <c r="A7" s="9"/>
      <c r="B7" s="122" t="s">
        <v>91</v>
      </c>
      <c r="C7" s="123"/>
      <c r="D7" s="124"/>
      <c r="E7" s="125"/>
      <c r="F7" s="123"/>
      <c r="G7" s="124"/>
      <c r="H7" s="26"/>
      <c r="I7" s="28"/>
      <c r="J7" s="10"/>
    </row>
    <row r="8" spans="1:10" ht="16.5" thickBot="1" x14ac:dyDescent="0.3">
      <c r="A8" s="9"/>
      <c r="B8" s="79" t="s">
        <v>49</v>
      </c>
      <c r="C8" s="80"/>
      <c r="D8" s="80"/>
      <c r="E8" s="80"/>
      <c r="F8" s="80"/>
      <c r="G8" s="80"/>
      <c r="H8" s="80"/>
      <c r="I8" s="81"/>
      <c r="J8" s="10"/>
    </row>
    <row r="9" spans="1:10" ht="16.5" thickBot="1" x14ac:dyDescent="0.3">
      <c r="A9" s="3"/>
      <c r="B9" s="79" t="s">
        <v>47</v>
      </c>
      <c r="C9" s="80"/>
      <c r="D9" s="80"/>
      <c r="E9" s="80"/>
      <c r="F9" s="80"/>
      <c r="G9" s="80"/>
      <c r="H9" s="80"/>
      <c r="I9" s="81"/>
      <c r="J9" s="4"/>
    </row>
    <row r="10" spans="1:10" ht="16.5" thickBot="1" x14ac:dyDescent="0.3">
      <c r="A10" s="3"/>
      <c r="B10" s="103" t="s">
        <v>3</v>
      </c>
      <c r="C10" s="104"/>
      <c r="D10" s="104"/>
      <c r="E10" s="126"/>
      <c r="F10" s="126"/>
      <c r="G10" s="126"/>
      <c r="H10" s="104"/>
      <c r="I10" s="105"/>
      <c r="J10" s="4"/>
    </row>
    <row r="11" spans="1:10" x14ac:dyDescent="0.25">
      <c r="A11" s="9"/>
      <c r="B11" s="139" t="s">
        <v>39</v>
      </c>
      <c r="C11" s="140"/>
      <c r="D11" s="141"/>
      <c r="E11" s="142"/>
      <c r="F11" s="83" t="s">
        <v>5</v>
      </c>
      <c r="G11" s="83"/>
      <c r="H11" s="141"/>
      <c r="I11" s="142"/>
      <c r="J11" s="10"/>
    </row>
    <row r="12" spans="1:10" x14ac:dyDescent="0.25">
      <c r="A12" s="3"/>
      <c r="B12" s="127" t="s">
        <v>1</v>
      </c>
      <c r="C12" s="128"/>
      <c r="D12" s="129">
        <v>3982</v>
      </c>
      <c r="E12" s="129"/>
      <c r="F12" s="85" t="s">
        <v>4</v>
      </c>
      <c r="G12" s="86"/>
      <c r="H12" s="132">
        <f>SUM(H15/108*100)</f>
        <v>47784</v>
      </c>
      <c r="I12" s="133"/>
      <c r="J12" s="4"/>
    </row>
    <row r="13" spans="1:10" x14ac:dyDescent="0.25">
      <c r="A13" s="3"/>
      <c r="B13" s="85"/>
      <c r="C13" s="86"/>
      <c r="D13" s="87"/>
      <c r="E13" s="87"/>
      <c r="F13" s="85" t="s">
        <v>6</v>
      </c>
      <c r="G13" s="86"/>
      <c r="H13" s="130">
        <f>SUM(H15/108*8)</f>
        <v>3822.7200000000003</v>
      </c>
      <c r="I13" s="131"/>
      <c r="J13" s="4"/>
    </row>
    <row r="14" spans="1:10" x14ac:dyDescent="0.25">
      <c r="A14" s="3"/>
      <c r="B14" s="77" t="s">
        <v>37</v>
      </c>
      <c r="C14" s="78"/>
      <c r="D14" s="92"/>
      <c r="E14" s="92"/>
      <c r="F14" s="85" t="s">
        <v>7</v>
      </c>
      <c r="G14" s="86"/>
      <c r="H14" s="130">
        <f>H15</f>
        <v>51606.720000000001</v>
      </c>
      <c r="I14" s="131"/>
      <c r="J14" s="4"/>
    </row>
    <row r="15" spans="1:10" x14ac:dyDescent="0.25">
      <c r="A15" s="9"/>
      <c r="B15" s="95" t="s">
        <v>42</v>
      </c>
      <c r="C15" s="96"/>
      <c r="D15" s="156">
        <f>IF(B12="Bruto uurloon excl. vakantiegeld (berekent jaarsalaris na invullen contracturen onder kopje gewerkte uren)", D12*1.08,
IF(B12="Bruto uurloon excl. vakantiegeld (berekent jaarsalaris na invullen contracturen onder kopje gewerkte uren)", H22*D12,
H15/H22))</f>
        <v>27.567692307692308</v>
      </c>
      <c r="E15" s="102"/>
      <c r="F15" s="134" t="s">
        <v>7</v>
      </c>
      <c r="G15" s="135"/>
      <c r="H15" s="136">
        <f>IF(B12="Bruto jaarloon (incl. vakantiegeld)", D12,
IF(B12="Bruto maandloon (incl. vakantiegeld)", D12*12,
IF(B12="Bruto maandloon (excl. vakantiegeld)", D12*12*1.08,
IF(B12="Bruto uurloon excl. vakantiegeld (berekent jaarsalaris na invullen contracturen onder kopje gewerkte uren)", H22*D12*1.08,
IF(B12="Bruto uurloon incl. vakantiegeld (berekent jaarsalaris na invullen contracturen onder kopje gewerkte uren)", H22*D12, "")))))</f>
        <v>51606.720000000001</v>
      </c>
      <c r="I15" s="137"/>
      <c r="J15" s="10"/>
    </row>
    <row r="16" spans="1:10" ht="16.5" thickBot="1" x14ac:dyDescent="0.3">
      <c r="A16" s="9"/>
      <c r="B16" s="138" t="s">
        <v>43</v>
      </c>
      <c r="C16" s="138"/>
      <c r="D16" s="114">
        <f>D15/1.08</f>
        <v>25.525641025641026</v>
      </c>
      <c r="E16" s="115"/>
      <c r="F16" s="85"/>
      <c r="G16" s="86"/>
      <c r="H16" s="87"/>
      <c r="I16" s="87"/>
      <c r="J16" s="10"/>
    </row>
    <row r="17" spans="1:10" ht="16.5" thickBot="1" x14ac:dyDescent="0.3">
      <c r="A17" s="3"/>
      <c r="B17" s="103" t="s">
        <v>8</v>
      </c>
      <c r="C17" s="104"/>
      <c r="D17" s="104"/>
      <c r="E17" s="104"/>
      <c r="F17" s="104"/>
      <c r="G17" s="104"/>
      <c r="H17" s="104"/>
      <c r="I17" s="105"/>
      <c r="J17" s="4"/>
    </row>
    <row r="18" spans="1:10" ht="16.5" thickBot="1" x14ac:dyDescent="0.3">
      <c r="A18" s="9"/>
      <c r="B18" s="79" t="s">
        <v>16</v>
      </c>
      <c r="C18" s="80"/>
      <c r="D18" s="80"/>
      <c r="E18" s="80"/>
      <c r="F18" s="80"/>
      <c r="G18" s="80"/>
      <c r="H18" s="80"/>
      <c r="I18" s="81"/>
      <c r="J18" s="10"/>
    </row>
    <row r="19" spans="1:10" x14ac:dyDescent="0.25">
      <c r="A19" s="3"/>
      <c r="B19" s="153" t="s">
        <v>15</v>
      </c>
      <c r="C19" s="154"/>
      <c r="D19" s="152">
        <v>4</v>
      </c>
      <c r="E19" s="152"/>
      <c r="F19" s="155" t="s">
        <v>117</v>
      </c>
      <c r="G19" s="154"/>
      <c r="H19" s="152">
        <v>5</v>
      </c>
      <c r="I19" s="152"/>
      <c r="J19" s="4"/>
    </row>
    <row r="20" spans="1:10" x14ac:dyDescent="0.25">
      <c r="A20" s="3"/>
      <c r="B20" s="15"/>
      <c r="C20" s="34"/>
      <c r="D20" s="35"/>
      <c r="E20" s="36"/>
      <c r="F20" s="166" t="s">
        <v>118</v>
      </c>
      <c r="G20" s="167"/>
      <c r="H20" s="35"/>
      <c r="I20" s="36"/>
      <c r="J20" s="4"/>
    </row>
    <row r="21" spans="1:10" x14ac:dyDescent="0.25">
      <c r="A21" s="3"/>
      <c r="B21" s="83" t="s">
        <v>39</v>
      </c>
      <c r="C21" s="84"/>
      <c r="D21" s="82"/>
      <c r="E21" s="82"/>
      <c r="F21" s="77" t="s">
        <v>5</v>
      </c>
      <c r="G21" s="78"/>
      <c r="H21" s="111">
        <f>IF(B22="Aantal uren volgens contract per jaar", D22,
IF(B22="Uren volgens contract per maand", D22*12,
IF(B22="Aantal uren volgens contract per week", D22*52, "")))</f>
        <v>1872</v>
      </c>
      <c r="I21" s="111"/>
      <c r="J21" s="4"/>
    </row>
    <row r="22" spans="1:10" ht="16.5" thickBot="1" x14ac:dyDescent="0.3">
      <c r="A22" s="3"/>
      <c r="B22" s="108" t="s">
        <v>11</v>
      </c>
      <c r="C22" s="109"/>
      <c r="D22" s="91">
        <v>36</v>
      </c>
      <c r="E22" s="91"/>
      <c r="F22" s="112" t="s">
        <v>95</v>
      </c>
      <c r="G22" s="113"/>
      <c r="H22" s="110">
        <f>H21</f>
        <v>1872</v>
      </c>
      <c r="I22" s="110"/>
      <c r="J22" s="4"/>
    </row>
    <row r="23" spans="1:10" ht="16.5" thickBot="1" x14ac:dyDescent="0.3">
      <c r="A23" s="9"/>
      <c r="B23" s="103" t="s">
        <v>55</v>
      </c>
      <c r="C23" s="104"/>
      <c r="D23" s="104"/>
      <c r="E23" s="104"/>
      <c r="F23" s="104"/>
      <c r="G23" s="104"/>
      <c r="H23" s="104"/>
      <c r="I23" s="105"/>
      <c r="J23" s="10"/>
    </row>
    <row r="24" spans="1:10" ht="16.5" thickBot="1" x14ac:dyDescent="0.3">
      <c r="A24" s="9"/>
      <c r="B24" s="88" t="s">
        <v>86</v>
      </c>
      <c r="C24" s="89"/>
      <c r="D24" s="89"/>
      <c r="E24" s="89"/>
      <c r="F24" s="89"/>
      <c r="G24" s="89"/>
      <c r="H24" s="89"/>
      <c r="I24" s="90"/>
      <c r="J24" s="10"/>
    </row>
    <row r="25" spans="1:10" ht="16.5" thickBot="1" x14ac:dyDescent="0.3">
      <c r="A25" s="9"/>
      <c r="B25" s="88" t="s">
        <v>48</v>
      </c>
      <c r="C25" s="89"/>
      <c r="D25" s="89"/>
      <c r="E25" s="89"/>
      <c r="F25" s="89"/>
      <c r="G25" s="89"/>
      <c r="H25" s="89"/>
      <c r="I25" s="90"/>
      <c r="J25" s="10"/>
    </row>
    <row r="26" spans="1:10" x14ac:dyDescent="0.25">
      <c r="A26" s="9"/>
      <c r="B26" s="83" t="s">
        <v>39</v>
      </c>
      <c r="C26" s="84"/>
      <c r="D26" s="82"/>
      <c r="E26" s="82"/>
      <c r="F26" s="83" t="s">
        <v>22</v>
      </c>
      <c r="G26" s="84"/>
      <c r="H26" s="106"/>
      <c r="I26" s="107"/>
      <c r="J26" s="10"/>
    </row>
    <row r="27" spans="1:10" x14ac:dyDescent="0.25">
      <c r="A27" s="9"/>
      <c r="B27" s="173" t="str">
        <f>HYPERLINK("https://www.fysiopensioen.nl/de-pensioenregeling/premie-2025", "Pensioenpremie 2025 SPF")</f>
        <v>Pensioenpremie 2025 SPF</v>
      </c>
      <c r="C27" s="174"/>
      <c r="D27" s="93"/>
      <c r="E27" s="94"/>
      <c r="F27" s="85" t="s">
        <v>28</v>
      </c>
      <c r="G27" s="86"/>
      <c r="H27" s="91">
        <v>333</v>
      </c>
      <c r="I27" s="91"/>
      <c r="J27" s="10"/>
    </row>
    <row r="28" spans="1:10" x14ac:dyDescent="0.25">
      <c r="A28" s="9"/>
      <c r="B28" s="108" t="s">
        <v>19</v>
      </c>
      <c r="C28" s="109"/>
      <c r="D28" s="91">
        <v>3700</v>
      </c>
      <c r="E28" s="91"/>
      <c r="F28" s="95" t="s">
        <v>27</v>
      </c>
      <c r="G28" s="96"/>
      <c r="H28" s="91">
        <v>50</v>
      </c>
      <c r="I28" s="91"/>
      <c r="J28" s="10"/>
    </row>
    <row r="29" spans="1:10" x14ac:dyDescent="0.25">
      <c r="A29" s="9"/>
      <c r="B29" s="85"/>
      <c r="C29" s="86"/>
      <c r="D29" s="93"/>
      <c r="E29" s="94"/>
      <c r="F29" s="162" t="s">
        <v>5</v>
      </c>
      <c r="G29" s="163"/>
      <c r="H29" s="92"/>
      <c r="I29" s="92"/>
      <c r="J29" s="10"/>
    </row>
    <row r="30" spans="1:10" x14ac:dyDescent="0.25">
      <c r="A30" s="9"/>
      <c r="B30" s="85" t="s">
        <v>21</v>
      </c>
      <c r="C30" s="86"/>
      <c r="D30" s="91">
        <v>17.100000000000001</v>
      </c>
      <c r="E30" s="91"/>
      <c r="F30" s="95" t="s">
        <v>30</v>
      </c>
      <c r="G30" s="96"/>
      <c r="H30" s="101">
        <f>SUM(H27-(H27*H28/100))</f>
        <v>166.5</v>
      </c>
      <c r="I30" s="102"/>
      <c r="J30" s="10"/>
    </row>
    <row r="31" spans="1:10" x14ac:dyDescent="0.25">
      <c r="A31" s="9"/>
      <c r="B31" s="77" t="s">
        <v>5</v>
      </c>
      <c r="C31" s="78"/>
      <c r="D31" s="87"/>
      <c r="E31" s="87"/>
      <c r="F31" s="95" t="s">
        <v>58</v>
      </c>
      <c r="G31" s="96"/>
      <c r="H31" s="101">
        <f>SUM(H27*H28/100)</f>
        <v>166.5</v>
      </c>
      <c r="I31" s="102"/>
      <c r="J31" s="10"/>
    </row>
    <row r="32" spans="1:10" x14ac:dyDescent="0.25">
      <c r="A32" s="9"/>
      <c r="B32" s="85" t="s">
        <v>20</v>
      </c>
      <c r="C32" s="86"/>
      <c r="D32" s="87">
        <f>IF(B28="Pensioenpremie per maand", D28*12*(1-(D30/100)),
IF(B28="Pensioenpremie per jaar", D28*(1-(D30/100)), ""))</f>
        <v>3067.2999999999997</v>
      </c>
      <c r="E32" s="87"/>
      <c r="F32" s="95"/>
      <c r="G32" s="96"/>
      <c r="H32" s="97"/>
      <c r="I32" s="98"/>
      <c r="J32" s="10"/>
    </row>
    <row r="33" spans="1:10" x14ac:dyDescent="0.25">
      <c r="A33" s="9"/>
      <c r="B33" s="85" t="s">
        <v>56</v>
      </c>
      <c r="C33" s="86"/>
      <c r="D33" s="87">
        <f>IF(B28="Pensioenpremie per maand", D28*12*(D30/100),
IF(B28="Pensioenpremie per jaar", D28*(D30/100), ""))</f>
        <v>632.70000000000005</v>
      </c>
      <c r="E33" s="87"/>
      <c r="F33" s="77" t="s">
        <v>22</v>
      </c>
      <c r="G33" s="78"/>
      <c r="H33" s="93"/>
      <c r="I33" s="94"/>
      <c r="J33" s="10"/>
    </row>
    <row r="34" spans="1:10" x14ac:dyDescent="0.25">
      <c r="A34" s="9"/>
      <c r="B34" s="15"/>
      <c r="C34" s="34"/>
      <c r="D34" s="35"/>
      <c r="E34" s="36"/>
      <c r="F34" s="15" t="s">
        <v>29</v>
      </c>
      <c r="G34" s="34"/>
      <c r="H34" s="99">
        <v>105</v>
      </c>
      <c r="I34" s="100"/>
      <c r="J34" s="10"/>
    </row>
    <row r="35" spans="1:10" x14ac:dyDescent="0.25">
      <c r="A35" s="9"/>
      <c r="B35" s="77" t="s">
        <v>22</v>
      </c>
      <c r="C35" s="78"/>
      <c r="D35" s="93"/>
      <c r="E35" s="94"/>
      <c r="F35" s="95" t="s">
        <v>27</v>
      </c>
      <c r="G35" s="96"/>
      <c r="H35" s="91">
        <v>100</v>
      </c>
      <c r="I35" s="91"/>
      <c r="J35" s="10"/>
    </row>
    <row r="36" spans="1:10" x14ac:dyDescent="0.25">
      <c r="A36" s="9"/>
      <c r="B36" s="85" t="s">
        <v>26</v>
      </c>
      <c r="C36" s="86"/>
      <c r="D36" s="91">
        <v>85</v>
      </c>
      <c r="E36" s="91"/>
      <c r="F36" s="162" t="s">
        <v>5</v>
      </c>
      <c r="G36" s="163"/>
      <c r="H36" s="97"/>
      <c r="I36" s="98"/>
      <c r="J36" s="10"/>
    </row>
    <row r="37" spans="1:10" x14ac:dyDescent="0.25">
      <c r="A37" s="9"/>
      <c r="B37" s="95" t="s">
        <v>27</v>
      </c>
      <c r="C37" s="96"/>
      <c r="D37" s="91">
        <v>100</v>
      </c>
      <c r="E37" s="91"/>
      <c r="F37" s="95" t="s">
        <v>31</v>
      </c>
      <c r="G37" s="96"/>
      <c r="H37" s="101">
        <f>SUM(H34-(H34*H35/100))</f>
        <v>0</v>
      </c>
      <c r="I37" s="102"/>
      <c r="J37" s="10"/>
    </row>
    <row r="38" spans="1:10" x14ac:dyDescent="0.25">
      <c r="A38" s="9"/>
      <c r="B38" s="162" t="s">
        <v>5</v>
      </c>
      <c r="C38" s="163"/>
      <c r="D38" s="92"/>
      <c r="E38" s="92"/>
      <c r="F38" s="95" t="s">
        <v>59</v>
      </c>
      <c r="G38" s="96"/>
      <c r="H38" s="101">
        <f>SUM(H34*H35/100)</f>
        <v>105</v>
      </c>
      <c r="I38" s="102"/>
      <c r="J38" s="10"/>
    </row>
    <row r="39" spans="1:10" x14ac:dyDescent="0.25">
      <c r="A39" s="9"/>
      <c r="B39" s="95" t="s">
        <v>25</v>
      </c>
      <c r="C39" s="96"/>
      <c r="D39" s="101">
        <f>SUM(D36-(D36*D37/100))/5</f>
        <v>0</v>
      </c>
      <c r="E39" s="102"/>
      <c r="F39" s="95"/>
      <c r="G39" s="96"/>
      <c r="H39" s="97"/>
      <c r="I39" s="98"/>
      <c r="J39" s="10"/>
    </row>
    <row r="40" spans="1:10" x14ac:dyDescent="0.25">
      <c r="A40" s="9"/>
      <c r="B40" s="95" t="s">
        <v>56</v>
      </c>
      <c r="C40" s="96"/>
      <c r="D40" s="101">
        <f>SUM(D36*D37/100)/5</f>
        <v>17</v>
      </c>
      <c r="E40" s="102"/>
      <c r="F40" s="77" t="s">
        <v>22</v>
      </c>
      <c r="G40" s="78"/>
      <c r="H40" s="93"/>
      <c r="I40" s="94"/>
      <c r="J40" s="10"/>
    </row>
    <row r="41" spans="1:10" x14ac:dyDescent="0.25">
      <c r="A41" s="9"/>
      <c r="B41" s="15"/>
      <c r="C41" s="34"/>
      <c r="D41" s="35"/>
      <c r="E41" s="36"/>
      <c r="F41" s="95" t="s">
        <v>23</v>
      </c>
      <c r="G41" s="96"/>
      <c r="H41" s="99">
        <v>252</v>
      </c>
      <c r="I41" s="100"/>
      <c r="J41" s="10"/>
    </row>
    <row r="42" spans="1:10" x14ac:dyDescent="0.25">
      <c r="A42" s="9"/>
      <c r="B42" s="77" t="s">
        <v>22</v>
      </c>
      <c r="C42" s="78"/>
      <c r="D42" s="93"/>
      <c r="E42" s="94"/>
      <c r="F42" s="95" t="s">
        <v>27</v>
      </c>
      <c r="G42" s="96"/>
      <c r="H42" s="91">
        <v>100</v>
      </c>
      <c r="I42" s="91"/>
      <c r="J42" s="10"/>
    </row>
    <row r="43" spans="1:10" x14ac:dyDescent="0.25">
      <c r="A43" s="9"/>
      <c r="B43" s="85" t="s">
        <v>32</v>
      </c>
      <c r="C43" s="85"/>
      <c r="D43" s="91">
        <v>750</v>
      </c>
      <c r="E43" s="91"/>
      <c r="F43" s="162" t="s">
        <v>5</v>
      </c>
      <c r="G43" s="163"/>
      <c r="H43" s="97"/>
      <c r="I43" s="98"/>
      <c r="J43" s="10"/>
    </row>
    <row r="44" spans="1:10" x14ac:dyDescent="0.25">
      <c r="A44" s="9"/>
      <c r="B44" s="95" t="s">
        <v>27</v>
      </c>
      <c r="C44" s="96"/>
      <c r="D44" s="91">
        <v>100</v>
      </c>
      <c r="E44" s="91"/>
      <c r="F44" s="95" t="s">
        <v>24</v>
      </c>
      <c r="G44" s="96"/>
      <c r="H44" s="101">
        <f>SUM(H41-(H41*H42/100))</f>
        <v>0</v>
      </c>
      <c r="I44" s="102"/>
      <c r="J44" s="10"/>
    </row>
    <row r="45" spans="1:10" x14ac:dyDescent="0.25">
      <c r="A45" s="9"/>
      <c r="B45" s="162" t="s">
        <v>5</v>
      </c>
      <c r="C45" s="163"/>
      <c r="D45" s="35"/>
      <c r="E45" s="36"/>
      <c r="F45" s="95" t="s">
        <v>60</v>
      </c>
      <c r="G45" s="96"/>
      <c r="H45" s="101">
        <f>SUM(H41*H42/100)</f>
        <v>252</v>
      </c>
      <c r="I45" s="102"/>
      <c r="J45" s="10"/>
    </row>
    <row r="46" spans="1:10" x14ac:dyDescent="0.25">
      <c r="A46" s="9"/>
      <c r="B46" s="95" t="s">
        <v>33</v>
      </c>
      <c r="C46" s="96"/>
      <c r="D46" s="37">
        <f>SUM(D43-(D43*D44/100))</f>
        <v>0</v>
      </c>
      <c r="E46" s="38"/>
      <c r="F46" s="15"/>
      <c r="G46" s="34"/>
      <c r="H46" s="35"/>
      <c r="I46" s="36"/>
      <c r="J46" s="10"/>
    </row>
    <row r="47" spans="1:10" x14ac:dyDescent="0.25">
      <c r="A47" s="9"/>
      <c r="B47" s="15" t="s">
        <v>57</v>
      </c>
      <c r="C47" s="34"/>
      <c r="D47" s="37">
        <f>SUM(D43*D44/100)</f>
        <v>750</v>
      </c>
      <c r="E47" s="36"/>
      <c r="F47" s="162" t="s">
        <v>5</v>
      </c>
      <c r="G47" s="163"/>
      <c r="H47" s="45"/>
      <c r="I47" s="46"/>
      <c r="J47" s="10"/>
    </row>
    <row r="48" spans="1:10" x14ac:dyDescent="0.25">
      <c r="A48" s="9"/>
      <c r="B48" s="15"/>
      <c r="C48" s="34"/>
      <c r="D48" s="35"/>
      <c r="E48" s="36"/>
      <c r="F48" s="95" t="s">
        <v>71</v>
      </c>
      <c r="G48" s="96"/>
      <c r="H48" s="45">
        <f>H19*D19</f>
        <v>20</v>
      </c>
      <c r="I48" s="46"/>
      <c r="J48" s="10"/>
    </row>
    <row r="49" spans="1:10" x14ac:dyDescent="0.25">
      <c r="A49" s="9"/>
      <c r="B49" s="77" t="s">
        <v>22</v>
      </c>
      <c r="C49" s="78"/>
      <c r="D49" s="45"/>
      <c r="E49" s="46"/>
      <c r="F49" s="18" t="s">
        <v>68</v>
      </c>
      <c r="G49" s="19"/>
      <c r="H49" s="45">
        <f>4*D19</f>
        <v>16</v>
      </c>
      <c r="I49" s="46"/>
      <c r="J49" s="10"/>
    </row>
    <row r="50" spans="1:10" x14ac:dyDescent="0.25">
      <c r="A50" s="9"/>
      <c r="B50" s="95" t="s">
        <v>65</v>
      </c>
      <c r="C50" s="96"/>
      <c r="D50" s="91">
        <v>15</v>
      </c>
      <c r="E50" s="91"/>
      <c r="F50" s="18" t="s">
        <v>70</v>
      </c>
      <c r="G50" s="19"/>
      <c r="H50" s="45">
        <f>H48-H49</f>
        <v>4</v>
      </c>
      <c r="I50" s="46"/>
      <c r="J50" s="10"/>
    </row>
    <row r="51" spans="1:10" x14ac:dyDescent="0.25">
      <c r="A51" s="9"/>
      <c r="B51" s="18" t="s">
        <v>62</v>
      </c>
      <c r="C51" s="19"/>
      <c r="D51" s="91">
        <v>0.23</v>
      </c>
      <c r="E51" s="91"/>
      <c r="F51" s="18" t="s">
        <v>69</v>
      </c>
      <c r="G51" s="19"/>
      <c r="H51" s="47">
        <f>H14/((52-H19)*D19)*H50</f>
        <v>1098.0153191489362</v>
      </c>
      <c r="I51" s="46"/>
      <c r="J51" s="10"/>
    </row>
    <row r="52" spans="1:10" x14ac:dyDescent="0.25">
      <c r="A52" s="9"/>
      <c r="B52" s="18" t="s">
        <v>66</v>
      </c>
      <c r="C52" s="19"/>
      <c r="D52" s="99">
        <v>35</v>
      </c>
      <c r="E52" s="100"/>
      <c r="F52" s="18"/>
      <c r="G52" s="19"/>
      <c r="H52" s="47"/>
      <c r="I52" s="46"/>
      <c r="J52" s="10"/>
    </row>
    <row r="53" spans="1:10" x14ac:dyDescent="0.25">
      <c r="A53" s="9"/>
      <c r="B53" s="18" t="s">
        <v>61</v>
      </c>
      <c r="C53" s="19"/>
      <c r="D53" s="45">
        <f>IF(D52=0, D50*((52-H19)*D19*2)*D51, IF(D50&lt;D52, D50*((52-H19)*D19*2)*D51, D52*((52-H19)*D19*2)*D51))</f>
        <v>1297.2</v>
      </c>
      <c r="E53" s="46"/>
      <c r="F53" s="15" t="s">
        <v>82</v>
      </c>
      <c r="G53" s="34"/>
      <c r="H53" s="50">
        <v>1</v>
      </c>
      <c r="I53" s="51"/>
      <c r="J53" s="10"/>
    </row>
    <row r="54" spans="1:10" x14ac:dyDescent="0.25">
      <c r="A54" s="9"/>
      <c r="B54" s="18" t="s">
        <v>63</v>
      </c>
      <c r="C54" s="19"/>
      <c r="D54" s="45">
        <f>D50 * (52-H19) * D19*2</f>
        <v>5640</v>
      </c>
      <c r="E54" s="46"/>
      <c r="F54" s="18" t="s">
        <v>83</v>
      </c>
      <c r="G54" s="19"/>
      <c r="H54" s="47">
        <f>H14*H53/100</f>
        <v>516.06719999999996</v>
      </c>
      <c r="I54" s="46"/>
      <c r="J54" s="10"/>
    </row>
    <row r="55" spans="1:10" x14ac:dyDescent="0.25">
      <c r="A55" s="9"/>
      <c r="B55" s="18" t="s">
        <v>64</v>
      </c>
      <c r="C55" s="19"/>
      <c r="D55" s="45">
        <f>IF(D52=0, D54, IF(D50&lt;D52, D54, D52*(52-H19)*D19*2))</f>
        <v>5640</v>
      </c>
      <c r="E55" s="46"/>
      <c r="F55" s="18"/>
      <c r="G55" s="19"/>
      <c r="H55" s="45"/>
      <c r="I55" s="46"/>
      <c r="J55" s="10"/>
    </row>
    <row r="56" spans="1:10" x14ac:dyDescent="0.25">
      <c r="A56" s="9"/>
      <c r="B56" s="18"/>
      <c r="C56" s="19"/>
      <c r="D56" s="45"/>
      <c r="E56" s="46"/>
      <c r="F56" s="162" t="s">
        <v>5</v>
      </c>
      <c r="G56" s="163"/>
      <c r="H56" s="45"/>
      <c r="I56" s="46"/>
      <c r="J56" s="10"/>
    </row>
    <row r="57" spans="1:10" x14ac:dyDescent="0.25">
      <c r="A57" s="9"/>
      <c r="B57" s="77" t="s">
        <v>22</v>
      </c>
      <c r="C57" s="78"/>
      <c r="D57" s="45"/>
      <c r="E57" s="46"/>
      <c r="F57" s="20" t="s">
        <v>81</v>
      </c>
      <c r="G57" s="20"/>
      <c r="H57" s="157">
        <f>SUM(H51+H45+H38+H31+D33+D40+D47+D53+H54+D59)</f>
        <v>5014.4825191489363</v>
      </c>
      <c r="I57" s="158"/>
      <c r="J57" s="10"/>
    </row>
    <row r="58" spans="1:10" x14ac:dyDescent="0.25">
      <c r="A58" s="9"/>
      <c r="B58" s="75" t="s">
        <v>87</v>
      </c>
      <c r="C58" s="76"/>
      <c r="D58" s="50">
        <v>15</v>
      </c>
      <c r="E58" s="51"/>
      <c r="F58" s="15" t="s">
        <v>79</v>
      </c>
      <c r="G58" s="34"/>
      <c r="H58" s="48">
        <f>H44+H37+H30+D32+D39+D46</f>
        <v>3233.7999999999997</v>
      </c>
      <c r="I58" s="49"/>
      <c r="J58" s="10"/>
    </row>
    <row r="59" spans="1:10" ht="16.5" thickBot="1" x14ac:dyDescent="0.3">
      <c r="A59" s="9"/>
      <c r="B59" s="18" t="s">
        <v>84</v>
      </c>
      <c r="C59" s="19"/>
      <c r="D59" s="45">
        <f>D58*12</f>
        <v>180</v>
      </c>
      <c r="E59" s="46"/>
      <c r="F59" s="18"/>
      <c r="G59" s="19"/>
      <c r="H59" s="45"/>
      <c r="I59" s="46"/>
      <c r="J59" s="10"/>
    </row>
    <row r="60" spans="1:10" ht="16.5" thickBot="1" x14ac:dyDescent="0.3">
      <c r="A60" s="9"/>
      <c r="B60" s="159" t="s">
        <v>89</v>
      </c>
      <c r="C60" s="160"/>
      <c r="D60" s="160"/>
      <c r="E60" s="160"/>
      <c r="F60" s="160"/>
      <c r="G60" s="160"/>
      <c r="H60" s="160"/>
      <c r="I60" s="161"/>
      <c r="J60" s="10"/>
    </row>
    <row r="61" spans="1:10" ht="16.5" thickBot="1" x14ac:dyDescent="0.3">
      <c r="A61" s="9"/>
      <c r="B61" s="88" t="s">
        <v>74</v>
      </c>
      <c r="C61" s="89"/>
      <c r="D61" s="89"/>
      <c r="E61" s="89"/>
      <c r="F61" s="89"/>
      <c r="G61" s="89"/>
      <c r="H61" s="89"/>
      <c r="I61" s="90"/>
      <c r="J61" s="10"/>
    </row>
    <row r="62" spans="1:10" ht="16.5" thickBot="1" x14ac:dyDescent="0.3">
      <c r="A62" s="9"/>
      <c r="B62" s="32"/>
      <c r="C62" s="33"/>
      <c r="D62" s="33" t="s">
        <v>85</v>
      </c>
      <c r="E62" s="33"/>
      <c r="F62" s="33"/>
      <c r="G62" s="33"/>
      <c r="H62" s="33"/>
      <c r="I62" s="52"/>
      <c r="J62" s="10"/>
    </row>
    <row r="63" spans="1:10" x14ac:dyDescent="0.25">
      <c r="A63" s="9"/>
      <c r="B63" s="18" t="s">
        <v>75</v>
      </c>
      <c r="C63" s="19"/>
      <c r="D63" s="37">
        <f>H63*(D19-2)*0.7</f>
        <v>277.88233846153844</v>
      </c>
      <c r="E63" s="38"/>
      <c r="F63" s="164" t="s">
        <v>72</v>
      </c>
      <c r="G63" s="165"/>
      <c r="H63" s="37">
        <f>H14/((52-L19)*H19)</f>
        <v>198.48738461538463</v>
      </c>
      <c r="I63" s="38"/>
      <c r="J63" s="10"/>
    </row>
    <row r="64" spans="1:10" x14ac:dyDescent="0.25">
      <c r="A64" s="9"/>
      <c r="B64" s="18" t="s">
        <v>76</v>
      </c>
      <c r="C64" s="19"/>
      <c r="D64" s="47">
        <f>H63*D19</f>
        <v>793.94953846153851</v>
      </c>
      <c r="E64" s="36"/>
      <c r="F64" s="18" t="s">
        <v>73</v>
      </c>
      <c r="G64" s="19"/>
      <c r="H64" s="37">
        <f>H63*0.3</f>
        <v>59.546215384615387</v>
      </c>
      <c r="I64" s="36"/>
      <c r="J64" s="10"/>
    </row>
    <row r="65" spans="1:13" ht="16.5" thickBot="1" x14ac:dyDescent="0.3">
      <c r="A65" s="9"/>
      <c r="B65" s="18" t="s">
        <v>77</v>
      </c>
      <c r="C65" s="19"/>
      <c r="D65" s="47">
        <f>D64-D63</f>
        <v>516.06720000000007</v>
      </c>
      <c r="E65" s="36"/>
      <c r="F65" s="18"/>
      <c r="G65" s="19"/>
      <c r="H65" s="45"/>
      <c r="I65" s="36"/>
      <c r="J65" s="10"/>
    </row>
    <row r="66" spans="1:13" ht="16.5" thickBot="1" x14ac:dyDescent="0.3">
      <c r="A66" s="9"/>
      <c r="B66" s="103" t="s">
        <v>78</v>
      </c>
      <c r="C66" s="104"/>
      <c r="D66" s="104"/>
      <c r="E66" s="104"/>
      <c r="F66" s="104"/>
      <c r="G66" s="104"/>
      <c r="H66" s="104"/>
      <c r="I66" s="105"/>
      <c r="J66" s="10"/>
    </row>
    <row r="67" spans="1:13" x14ac:dyDescent="0.25">
      <c r="A67" s="9"/>
      <c r="B67" s="83" t="s">
        <v>5</v>
      </c>
      <c r="C67" s="84"/>
      <c r="D67" s="97"/>
      <c r="E67" s="98"/>
      <c r="F67" s="83" t="s">
        <v>93</v>
      </c>
      <c r="G67" s="84"/>
      <c r="H67" s="97"/>
      <c r="I67" s="98"/>
      <c r="J67" s="10"/>
    </row>
    <row r="68" spans="1:13" x14ac:dyDescent="0.25">
      <c r="A68" s="9"/>
      <c r="B68" s="85" t="s">
        <v>7</v>
      </c>
      <c r="C68" s="86"/>
      <c r="D68" s="101">
        <f>H15</f>
        <v>51606.720000000001</v>
      </c>
      <c r="E68" s="98"/>
      <c r="F68" s="83" t="s">
        <v>5</v>
      </c>
      <c r="G68" s="84"/>
      <c r="H68" s="101"/>
      <c r="I68" s="102"/>
      <c r="J68" s="10"/>
    </row>
    <row r="69" spans="1:13" x14ac:dyDescent="0.25">
      <c r="A69" s="9"/>
      <c r="B69" s="85" t="s">
        <v>79</v>
      </c>
      <c r="C69" s="86"/>
      <c r="D69" s="101">
        <f>H58</f>
        <v>3233.7999999999997</v>
      </c>
      <c r="E69" s="102"/>
      <c r="F69" s="85" t="s">
        <v>94</v>
      </c>
      <c r="G69" s="86"/>
      <c r="H69" s="101">
        <f>D69/D68*100</f>
        <v>6.2662381953358004</v>
      </c>
      <c r="I69" s="102"/>
      <c r="J69" s="10"/>
    </row>
    <row r="70" spans="1:13" ht="16.5" thickBot="1" x14ac:dyDescent="0.3">
      <c r="A70" s="9"/>
      <c r="B70" s="20" t="s">
        <v>81</v>
      </c>
      <c r="C70" s="20"/>
      <c r="D70" s="101">
        <f>H57</f>
        <v>5014.4825191489363</v>
      </c>
      <c r="E70" s="98"/>
      <c r="F70" s="85" t="s">
        <v>92</v>
      </c>
      <c r="G70" s="86"/>
      <c r="H70" s="101">
        <f>D70/D68*100</f>
        <v>9.7167239443796003</v>
      </c>
      <c r="I70" s="102"/>
      <c r="J70" s="10"/>
    </row>
    <row r="71" spans="1:13" ht="16.5" thickBot="1" x14ac:dyDescent="0.3">
      <c r="A71" s="9"/>
      <c r="B71" s="54"/>
      <c r="C71" s="55"/>
      <c r="D71" s="55" t="s">
        <v>80</v>
      </c>
      <c r="E71" s="55"/>
      <c r="F71" s="55"/>
      <c r="G71" s="55"/>
      <c r="H71" s="55"/>
      <c r="I71" s="56"/>
      <c r="J71" s="10"/>
    </row>
    <row r="72" spans="1:13" ht="16.5" thickBot="1" x14ac:dyDescent="0.3">
      <c r="A72" s="67"/>
      <c r="B72" s="68"/>
      <c r="C72" s="68"/>
      <c r="D72" s="68"/>
      <c r="E72" s="68"/>
      <c r="F72" s="68"/>
      <c r="G72" s="31"/>
      <c r="H72" s="31"/>
      <c r="I72" s="31"/>
      <c r="J72" s="7"/>
    </row>
    <row r="73" spans="1:13" x14ac:dyDescent="0.25">
      <c r="A73" s="64"/>
      <c r="B73" s="64"/>
      <c r="C73" s="64"/>
      <c r="D73" s="64"/>
      <c r="E73" s="64"/>
      <c r="F73" s="64"/>
      <c r="G73" s="143" t="s">
        <v>51</v>
      </c>
      <c r="H73" s="144"/>
      <c r="I73" s="145"/>
    </row>
    <row r="74" spans="1:13" ht="16.5" thickBot="1" x14ac:dyDescent="0.3">
      <c r="A74" s="64"/>
      <c r="B74" s="64"/>
      <c r="C74" s="64"/>
      <c r="D74" s="64"/>
      <c r="E74" s="64"/>
      <c r="F74" s="64"/>
      <c r="G74" s="146" t="str">
        <f>HYPERLINK("https://fysiovakbond.nl/wp-content/uploads/2025/06/Factsheet-arbeidsvoorwaarden-vergelijken-Salarisonderzoek-2024.pdf", "Arbeidsvoorwaarden vergelijken Salarisonderzoek 2024")</f>
        <v>Arbeidsvoorwaarden vergelijken Salarisonderzoek 2024</v>
      </c>
      <c r="H74" s="147"/>
      <c r="I74" s="148"/>
    </row>
    <row r="75" spans="1:13" x14ac:dyDescent="0.25">
      <c r="A75" s="64"/>
      <c r="B75" s="64"/>
      <c r="C75" s="64"/>
      <c r="D75" s="64"/>
      <c r="E75" s="64"/>
      <c r="F75" s="64"/>
      <c r="G75" s="143" t="s">
        <v>52</v>
      </c>
      <c r="H75" s="144"/>
      <c r="I75" s="145"/>
    </row>
    <row r="76" spans="1:13" ht="16.5" thickBot="1" x14ac:dyDescent="0.3">
      <c r="A76" s="64"/>
      <c r="B76" s="64"/>
      <c r="C76" s="64"/>
      <c r="D76" s="64"/>
      <c r="E76" s="64"/>
      <c r="F76" s="64"/>
      <c r="G76" s="149" t="str">
        <f>HYPERLINK("https://fysiovakbond.nl/wp-content/uploads/2025/06/Fysiovakbond-FDV-Arbeidsvoorwaarden-in-de-eerstelijns-fysiotherapie-2024.pdf", "Arbeidsvoorwaarden eerstelijnsfysiotherapie 2024")</f>
        <v>Arbeidsvoorwaarden eerstelijnsfysiotherapie 2024</v>
      </c>
      <c r="H76" s="150"/>
      <c r="I76" s="151"/>
      <c r="J76" s="63"/>
      <c r="K76" s="63"/>
      <c r="L76" s="63"/>
      <c r="M76" s="63"/>
    </row>
    <row r="77" spans="1:13" x14ac:dyDescent="0.25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</row>
    <row r="78" spans="1:13" x14ac:dyDescent="0.25">
      <c r="A78" s="64"/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</row>
    <row r="79" spans="1:13" x14ac:dyDescent="0.25">
      <c r="A79" s="65"/>
      <c r="B79" s="53"/>
      <c r="C79" s="53"/>
      <c r="D79" s="170"/>
      <c r="E79" s="171"/>
      <c r="F79" s="172"/>
      <c r="G79" s="169"/>
      <c r="H79" s="170"/>
      <c r="I79" s="170"/>
      <c r="J79" s="62"/>
      <c r="K79" s="64"/>
      <c r="L79" s="64"/>
      <c r="M79" s="64"/>
    </row>
    <row r="80" spans="1:13" x14ac:dyDescent="0.25">
      <c r="A80" s="65"/>
      <c r="B80" s="66"/>
      <c r="C80" s="66"/>
      <c r="D80" s="66"/>
      <c r="E80" s="66"/>
      <c r="F80" s="66"/>
      <c r="G80" s="66"/>
      <c r="H80" s="66"/>
      <c r="I80" s="66"/>
      <c r="J80" s="62"/>
      <c r="K80" s="64"/>
      <c r="L80" s="64"/>
      <c r="M80" s="64"/>
    </row>
    <row r="81" spans="1:13" x14ac:dyDescent="0.25">
      <c r="A81" s="65"/>
      <c r="B81" s="62"/>
      <c r="C81" s="62"/>
      <c r="D81" s="62"/>
      <c r="E81" s="62"/>
      <c r="F81" s="62"/>
      <c r="G81" s="62"/>
      <c r="H81" s="62"/>
      <c r="I81" s="62"/>
      <c r="J81" s="62"/>
      <c r="K81" s="64"/>
      <c r="L81" s="64"/>
      <c r="M81" s="64"/>
    </row>
    <row r="82" spans="1:13" x14ac:dyDescent="0.25">
      <c r="A82" s="64"/>
      <c r="B82" s="64"/>
      <c r="C82" s="64"/>
      <c r="D82" s="64"/>
      <c r="E82" s="64"/>
      <c r="F82" s="64"/>
      <c r="G82" s="172"/>
      <c r="H82" s="169"/>
      <c r="I82" s="169"/>
      <c r="J82" s="64"/>
      <c r="K82" s="64"/>
      <c r="L82" s="64"/>
      <c r="M82" s="64"/>
    </row>
    <row r="83" spans="1:13" x14ac:dyDescent="0.25">
      <c r="A83" s="64"/>
      <c r="B83" s="64"/>
      <c r="C83" s="64"/>
      <c r="D83" s="64"/>
      <c r="E83" s="64"/>
      <c r="F83" s="64"/>
      <c r="G83" s="168"/>
      <c r="H83" s="169"/>
      <c r="I83" s="169"/>
      <c r="J83" s="64"/>
      <c r="K83" s="64"/>
      <c r="L83" s="64"/>
      <c r="M83" s="64"/>
    </row>
    <row r="84" spans="1:13" x14ac:dyDescent="0.25">
      <c r="A84" s="64"/>
      <c r="B84" s="64"/>
      <c r="C84" s="64"/>
      <c r="D84" s="64"/>
      <c r="E84" s="64"/>
      <c r="F84" s="64"/>
      <c r="G84" s="172"/>
      <c r="H84" s="169"/>
      <c r="I84" s="169"/>
      <c r="J84" s="64"/>
      <c r="K84" s="64"/>
      <c r="L84" s="64"/>
      <c r="M84" s="64"/>
    </row>
    <row r="85" spans="1:13" x14ac:dyDescent="0.25">
      <c r="A85" s="64"/>
      <c r="B85" s="64"/>
      <c r="C85" s="64"/>
      <c r="D85" s="64"/>
      <c r="E85" s="64"/>
      <c r="F85" s="64"/>
      <c r="G85" s="168"/>
      <c r="H85" s="169"/>
      <c r="I85" s="169"/>
      <c r="J85" s="64"/>
      <c r="K85" s="64"/>
      <c r="L85" s="64"/>
      <c r="M85" s="64"/>
    </row>
    <row r="86" spans="1:13" x14ac:dyDescent="0.25">
      <c r="A86" s="64"/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64"/>
      <c r="M86" s="64"/>
    </row>
    <row r="87" spans="1:13" x14ac:dyDescent="0.25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</row>
    <row r="88" spans="1:13" x14ac:dyDescent="0.25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</row>
    <row r="89" spans="1:13" x14ac:dyDescent="0.25">
      <c r="A89" s="64"/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64"/>
      <c r="M89" s="64"/>
    </row>
    <row r="90" spans="1:13" x14ac:dyDescent="0.25">
      <c r="A90" s="64"/>
      <c r="B90" s="64"/>
      <c r="C90" s="64"/>
      <c r="D90" s="64"/>
      <c r="E90" s="64"/>
      <c r="F90" s="64"/>
      <c r="G90" s="64"/>
      <c r="H90" s="64"/>
      <c r="I90" s="64"/>
      <c r="J90" s="64"/>
      <c r="K90" s="64"/>
      <c r="L90" s="64"/>
      <c r="M90" s="64"/>
    </row>
    <row r="91" spans="1:13" x14ac:dyDescent="0.25">
      <c r="A91" s="63"/>
      <c r="B91" s="63"/>
      <c r="C91" s="63"/>
      <c r="D91" s="63"/>
      <c r="E91" s="63"/>
      <c r="F91" s="63"/>
      <c r="G91" s="63"/>
      <c r="H91" s="63"/>
      <c r="I91" s="63"/>
      <c r="J91" s="63"/>
      <c r="K91" s="63"/>
      <c r="L91" s="63"/>
      <c r="M91" s="63"/>
    </row>
    <row r="92" spans="1:13" x14ac:dyDescent="0.25">
      <c r="A92" s="63"/>
      <c r="B92" s="63"/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</row>
    <row r="93" spans="1:13" x14ac:dyDescent="0.25">
      <c r="A93" s="63"/>
      <c r="B93" s="63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</row>
    <row r="94" spans="1:13" x14ac:dyDescent="0.25">
      <c r="A94" s="63"/>
      <c r="B94" s="63"/>
      <c r="C94" s="63"/>
      <c r="D94" s="63"/>
      <c r="E94" s="63"/>
      <c r="F94" s="63"/>
      <c r="G94" s="63"/>
      <c r="H94" s="63"/>
      <c r="I94" s="63"/>
      <c r="J94" s="63"/>
      <c r="K94" s="63"/>
      <c r="L94" s="63"/>
      <c r="M94" s="63"/>
    </row>
    <row r="95" spans="1:13" x14ac:dyDescent="0.25">
      <c r="A95" s="63"/>
      <c r="B95" s="63"/>
      <c r="C95" s="63"/>
      <c r="D95" s="63"/>
      <c r="E95" s="63"/>
      <c r="F95" s="63"/>
      <c r="G95" s="63"/>
      <c r="H95" s="63"/>
      <c r="I95" s="63"/>
      <c r="J95" s="63"/>
      <c r="K95" s="63"/>
      <c r="L95" s="63"/>
      <c r="M95" s="63"/>
    </row>
    <row r="96" spans="1:13" x14ac:dyDescent="0.25">
      <c r="A96" s="63"/>
      <c r="B96" s="63"/>
      <c r="C96" s="63"/>
      <c r="D96" s="63"/>
      <c r="E96" s="63"/>
      <c r="F96" s="63"/>
      <c r="G96" s="63"/>
      <c r="H96" s="63"/>
      <c r="I96" s="63"/>
      <c r="J96" s="63"/>
      <c r="K96" s="63"/>
      <c r="L96" s="63"/>
      <c r="M96" s="63"/>
    </row>
    <row r="97" spans="1:13" x14ac:dyDescent="0.25">
      <c r="A97" s="63"/>
      <c r="B97" s="63"/>
      <c r="C97" s="63"/>
      <c r="D97" s="63"/>
      <c r="E97" s="63"/>
      <c r="F97" s="63"/>
      <c r="G97" s="63"/>
      <c r="H97" s="63"/>
      <c r="I97" s="63"/>
      <c r="J97" s="63"/>
      <c r="K97" s="63"/>
      <c r="L97" s="63"/>
      <c r="M97" s="63"/>
    </row>
  </sheetData>
  <mergeCells count="172">
    <mergeCell ref="B2:I2"/>
    <mergeCell ref="B3:D3"/>
    <mergeCell ref="E3:G3"/>
    <mergeCell ref="B4:D4"/>
    <mergeCell ref="E4:G4"/>
    <mergeCell ref="B5:D5"/>
    <mergeCell ref="E5:G5"/>
    <mergeCell ref="B11:C11"/>
    <mergeCell ref="D11:E11"/>
    <mergeCell ref="F11:G11"/>
    <mergeCell ref="H11:I11"/>
    <mergeCell ref="B12:C12"/>
    <mergeCell ref="D12:E12"/>
    <mergeCell ref="F12:G12"/>
    <mergeCell ref="H12:I12"/>
    <mergeCell ref="B6:D6"/>
    <mergeCell ref="E6:G6"/>
    <mergeCell ref="B8:I8"/>
    <mergeCell ref="B9:I9"/>
    <mergeCell ref="B15:C15"/>
    <mergeCell ref="D15:E15"/>
    <mergeCell ref="F15:G15"/>
    <mergeCell ref="H15:I15"/>
    <mergeCell ref="F16:G16"/>
    <mergeCell ref="H16:I16"/>
    <mergeCell ref="B13:C13"/>
    <mergeCell ref="D13:E13"/>
    <mergeCell ref="F13:G13"/>
    <mergeCell ref="H13:I13"/>
    <mergeCell ref="B14:C14"/>
    <mergeCell ref="D14:E14"/>
    <mergeCell ref="F14:G14"/>
    <mergeCell ref="H14:I14"/>
    <mergeCell ref="B25:I25"/>
    <mergeCell ref="B22:C22"/>
    <mergeCell ref="D22:E22"/>
    <mergeCell ref="F22:G22"/>
    <mergeCell ref="H22:I22"/>
    <mergeCell ref="B23:I23"/>
    <mergeCell ref="B24:I24"/>
    <mergeCell ref="B19:C19"/>
    <mergeCell ref="D19:E19"/>
    <mergeCell ref="F19:G19"/>
    <mergeCell ref="H19:I19"/>
    <mergeCell ref="F21:G21"/>
    <mergeCell ref="H21:I21"/>
    <mergeCell ref="B27:C27"/>
    <mergeCell ref="D27:E27"/>
    <mergeCell ref="F27:G27"/>
    <mergeCell ref="H27:I27"/>
    <mergeCell ref="B28:C28"/>
    <mergeCell ref="D28:E28"/>
    <mergeCell ref="F28:G28"/>
    <mergeCell ref="H28:I28"/>
    <mergeCell ref="B26:C26"/>
    <mergeCell ref="D26:E26"/>
    <mergeCell ref="F26:G26"/>
    <mergeCell ref="H26:I26"/>
    <mergeCell ref="B31:C31"/>
    <mergeCell ref="D31:E31"/>
    <mergeCell ref="F31:G31"/>
    <mergeCell ref="H31:I31"/>
    <mergeCell ref="B32:C32"/>
    <mergeCell ref="D32:E32"/>
    <mergeCell ref="F32:G32"/>
    <mergeCell ref="H32:I32"/>
    <mergeCell ref="B29:C29"/>
    <mergeCell ref="D29:E29"/>
    <mergeCell ref="F29:G29"/>
    <mergeCell ref="H29:I29"/>
    <mergeCell ref="B30:C30"/>
    <mergeCell ref="D30:E30"/>
    <mergeCell ref="F30:G30"/>
    <mergeCell ref="H30:I30"/>
    <mergeCell ref="B37:C37"/>
    <mergeCell ref="D37:E37"/>
    <mergeCell ref="H37:I37"/>
    <mergeCell ref="B38:C38"/>
    <mergeCell ref="D38:E38"/>
    <mergeCell ref="H38:I38"/>
    <mergeCell ref="F38:G38"/>
    <mergeCell ref="B35:C35"/>
    <mergeCell ref="D35:E35"/>
    <mergeCell ref="F35:G35"/>
    <mergeCell ref="H35:I35"/>
    <mergeCell ref="D36:E36"/>
    <mergeCell ref="F36:G36"/>
    <mergeCell ref="H36:I36"/>
    <mergeCell ref="B42:C42"/>
    <mergeCell ref="D42:E42"/>
    <mergeCell ref="F42:G42"/>
    <mergeCell ref="H42:I42"/>
    <mergeCell ref="B39:C39"/>
    <mergeCell ref="D39:E39"/>
    <mergeCell ref="H39:I39"/>
    <mergeCell ref="B40:C40"/>
    <mergeCell ref="D40:E40"/>
    <mergeCell ref="F40:G40"/>
    <mergeCell ref="H40:I40"/>
    <mergeCell ref="F39:G39"/>
    <mergeCell ref="G85:I85"/>
    <mergeCell ref="B7:D7"/>
    <mergeCell ref="E7:G7"/>
    <mergeCell ref="B10:I10"/>
    <mergeCell ref="B16:C16"/>
    <mergeCell ref="D16:E16"/>
    <mergeCell ref="B17:I17"/>
    <mergeCell ref="B18:I18"/>
    <mergeCell ref="B21:C21"/>
    <mergeCell ref="D21:E21"/>
    <mergeCell ref="D79:E79"/>
    <mergeCell ref="F79:G79"/>
    <mergeCell ref="H79:I79"/>
    <mergeCell ref="G82:I82"/>
    <mergeCell ref="G83:I83"/>
    <mergeCell ref="G84:I84"/>
    <mergeCell ref="D70:E70"/>
    <mergeCell ref="F70:G70"/>
    <mergeCell ref="H70:I70"/>
    <mergeCell ref="B58:C58"/>
    <mergeCell ref="D52:E52"/>
    <mergeCell ref="B49:C49"/>
    <mergeCell ref="D51:E51"/>
    <mergeCell ref="D50:E50"/>
    <mergeCell ref="B66:I66"/>
    <mergeCell ref="B67:C67"/>
    <mergeCell ref="D67:E67"/>
    <mergeCell ref="F67:G67"/>
    <mergeCell ref="H67:I67"/>
    <mergeCell ref="B33:C33"/>
    <mergeCell ref="D33:E33"/>
    <mergeCell ref="F33:G33"/>
    <mergeCell ref="H33:I33"/>
    <mergeCell ref="H34:I34"/>
    <mergeCell ref="B36:C36"/>
    <mergeCell ref="F47:G47"/>
    <mergeCell ref="F48:G48"/>
    <mergeCell ref="H43:I43"/>
    <mergeCell ref="B44:C44"/>
    <mergeCell ref="D44:E44"/>
    <mergeCell ref="H44:I44"/>
    <mergeCell ref="B45:C45"/>
    <mergeCell ref="H45:I45"/>
    <mergeCell ref="B43:C43"/>
    <mergeCell ref="D43:E43"/>
    <mergeCell ref="F45:G45"/>
    <mergeCell ref="F41:G41"/>
    <mergeCell ref="H41:I41"/>
    <mergeCell ref="B46:C46"/>
    <mergeCell ref="F56:G56"/>
    <mergeCell ref="B50:C50"/>
    <mergeCell ref="F63:G63"/>
    <mergeCell ref="F20:G20"/>
    <mergeCell ref="G73:I73"/>
    <mergeCell ref="G74:I74"/>
    <mergeCell ref="G75:I75"/>
    <mergeCell ref="G76:I76"/>
    <mergeCell ref="F37:G37"/>
    <mergeCell ref="F43:G43"/>
    <mergeCell ref="F44:G44"/>
    <mergeCell ref="B68:C68"/>
    <mergeCell ref="D68:E68"/>
    <mergeCell ref="F68:G68"/>
    <mergeCell ref="H68:I68"/>
    <mergeCell ref="B69:C69"/>
    <mergeCell ref="D69:E69"/>
    <mergeCell ref="F69:G69"/>
    <mergeCell ref="H69:I69"/>
    <mergeCell ref="B57:C57"/>
    <mergeCell ref="H57:I57"/>
    <mergeCell ref="B60:I60"/>
    <mergeCell ref="B61:I61"/>
  </mergeCells>
  <hyperlinks>
    <hyperlink ref="G76" r:id="rId1" display="https://fysiovakbond.nl/cao/salaristabel-per-1-1-25-volgens-de-concept-cao-eerstelijns-fysiotherapie/ " xr:uid="{BF401AA3-B1A7-4057-BA63-EED7112CAD67}"/>
    <hyperlink ref="E6" r:id="rId2" display="https://fysiovakbond.nl/cao/salaristabel-per-1-1-25-volgens-de-concept-cao-eerstelijns-fysiotherapie/ " xr:uid="{3F7BEBC7-18F8-4FD4-9E62-0ED6A1663891}"/>
  </hyperlinks>
  <pageMargins left="0.7" right="0.7" top="0.75" bottom="0.75" header="0.3" footer="0.3"/>
  <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F0B71C0D-0AAD-4A13-8ABA-2BBCF21FE7A3}">
          <x14:formula1>
            <xm:f>'Data Sheet'!$B$13:$B$14</xm:f>
          </x14:formula1>
          <xm:sqref>B58</xm:sqref>
        </x14:dataValidation>
        <x14:dataValidation type="list" allowBlank="1" showInputMessage="1" showErrorMessage="1" xr:uid="{08CDE072-2F16-48D0-BA21-2A7D1E000474}">
          <x14:formula1>
            <xm:f>'Data Sheet'!$B$30:$B$31</xm:f>
          </x14:formula1>
          <xm:sqref>B28:C28</xm:sqref>
        </x14:dataValidation>
        <x14:dataValidation type="list" allowBlank="1" showInputMessage="1" showErrorMessage="1" xr:uid="{4B9C3802-4B1C-4276-B11E-E7C3AFD30B3A}">
          <x14:formula1>
            <xm:f>'Data Sheet'!$E$2:$E$4</xm:f>
          </x14:formula1>
          <xm:sqref>B22:C22</xm:sqref>
        </x14:dataValidation>
        <x14:dataValidation type="list" allowBlank="1" showInputMessage="1" showErrorMessage="1" xr:uid="{0D4C19D8-EC1E-4412-8183-06987EFFF576}">
          <x14:formula1>
            <xm:f>'Data Sheet'!$C$2:$C$6</xm:f>
          </x14:formula1>
          <xm:sqref>B12:C12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D488A-5951-4CF6-AF97-FAE661993715}">
  <dimension ref="A1:M52"/>
  <sheetViews>
    <sheetView workbookViewId="0">
      <selection activeCell="E3" sqref="E3:G3"/>
    </sheetView>
  </sheetViews>
  <sheetFormatPr defaultRowHeight="15.75" x14ac:dyDescent="0.25"/>
  <cols>
    <col min="1" max="1" width="3.5" customWidth="1"/>
    <col min="3" max="3" width="46.75" customWidth="1"/>
    <col min="4" max="4" width="18.75" customWidth="1"/>
    <col min="5" max="5" width="9" hidden="1" customWidth="1"/>
    <col min="6" max="6" width="36.375" customWidth="1"/>
    <col min="7" max="7" width="15" customWidth="1"/>
    <col min="9" max="9" width="14.5" customWidth="1"/>
    <col min="10" max="10" width="2.625" customWidth="1"/>
    <col min="13" max="13" width="29.5" customWidth="1"/>
  </cols>
  <sheetData>
    <row r="1" spans="1:10" ht="16.5" thickBot="1" x14ac:dyDescent="0.3">
      <c r="A1" s="1"/>
      <c r="B1" s="23"/>
      <c r="C1" s="23"/>
      <c r="D1" s="23"/>
      <c r="E1" s="23"/>
      <c r="F1" s="23"/>
      <c r="G1" s="23"/>
      <c r="H1" s="23"/>
      <c r="I1" s="23"/>
      <c r="J1" s="2"/>
    </row>
    <row r="2" spans="1:10" ht="16.5" thickBot="1" x14ac:dyDescent="0.3">
      <c r="A2" s="3"/>
      <c r="B2" s="116" t="s">
        <v>50</v>
      </c>
      <c r="C2" s="117"/>
      <c r="D2" s="117"/>
      <c r="E2" s="117"/>
      <c r="F2" s="117"/>
      <c r="G2" s="117"/>
      <c r="H2" s="117"/>
      <c r="I2" s="118"/>
      <c r="J2" s="4"/>
    </row>
    <row r="3" spans="1:10" x14ac:dyDescent="0.25">
      <c r="A3" s="3"/>
      <c r="B3" s="119" t="s">
        <v>53</v>
      </c>
      <c r="C3" s="120"/>
      <c r="D3" s="121"/>
      <c r="E3" s="119" t="s">
        <v>120</v>
      </c>
      <c r="F3" s="120"/>
      <c r="G3" s="121"/>
      <c r="H3" s="57"/>
      <c r="I3" s="58"/>
      <c r="J3" s="4"/>
    </row>
    <row r="4" spans="1:10" ht="16.5" thickBot="1" x14ac:dyDescent="0.3">
      <c r="A4" s="3"/>
      <c r="B4" s="122" t="s">
        <v>54</v>
      </c>
      <c r="C4" s="123"/>
      <c r="D4" s="124"/>
      <c r="E4" s="125" t="str">
        <f>HYPERLINK("https://fysiovakbond.nl/wp-content/uploads/2025/06/Factsheet-arbeidsvoorwaarden-vergelijken-Salarisonderzoek-2024.pdf", "Arbeidsvoorwaarden vergelijken Salarisonderzoek 2024")</f>
        <v>Arbeidsvoorwaarden vergelijken Salarisonderzoek 2024</v>
      </c>
      <c r="F4" s="123"/>
      <c r="G4" s="124"/>
      <c r="H4" s="59"/>
      <c r="I4" s="60"/>
      <c r="J4" s="4"/>
    </row>
    <row r="5" spans="1:10" x14ac:dyDescent="0.25">
      <c r="A5" s="3"/>
      <c r="B5" s="122" t="s">
        <v>96</v>
      </c>
      <c r="C5" s="123"/>
      <c r="D5" s="124"/>
      <c r="E5" s="119" t="s">
        <v>52</v>
      </c>
      <c r="F5" s="120"/>
      <c r="G5" s="121"/>
      <c r="H5" s="59"/>
      <c r="I5" s="61"/>
      <c r="J5" s="4"/>
    </row>
    <row r="6" spans="1:10" ht="16.5" thickBot="1" x14ac:dyDescent="0.3">
      <c r="A6" s="9"/>
      <c r="B6" s="122"/>
      <c r="C6" s="123"/>
      <c r="D6" s="124"/>
      <c r="E6" s="125" t="str">
        <f>HYPERLINK("https://fysiovakbond.nl/wp-content/uploads/2025/06/Fysiovakbond-FDV-Arbeidsvoorwaarden-in-de-eerstelijns-fysiotherapie-2024.pdf", "Arbeidsvoorwaarden eerstelijnsfysiotherapie 2024")</f>
        <v>Arbeidsvoorwaarden eerstelijnsfysiotherapie 2024</v>
      </c>
      <c r="F6" s="123"/>
      <c r="G6" s="124"/>
      <c r="H6" s="59"/>
      <c r="I6" s="61"/>
      <c r="J6" s="10"/>
    </row>
    <row r="7" spans="1:10" ht="16.5" thickBot="1" x14ac:dyDescent="0.3">
      <c r="A7" s="9"/>
      <c r="B7" s="79" t="s">
        <v>49</v>
      </c>
      <c r="C7" s="80"/>
      <c r="D7" s="80"/>
      <c r="E7" s="80"/>
      <c r="F7" s="80"/>
      <c r="G7" s="80"/>
      <c r="H7" s="80"/>
      <c r="I7" s="81"/>
      <c r="J7" s="10"/>
    </row>
    <row r="8" spans="1:10" ht="16.5" thickBot="1" x14ac:dyDescent="0.3">
      <c r="A8" s="3"/>
      <c r="B8" s="79" t="s">
        <v>47</v>
      </c>
      <c r="C8" s="80"/>
      <c r="D8" s="80"/>
      <c r="E8" s="80"/>
      <c r="F8" s="80"/>
      <c r="G8" s="80"/>
      <c r="H8" s="80"/>
      <c r="I8" s="81"/>
      <c r="J8" s="4"/>
    </row>
    <row r="9" spans="1:10" ht="16.5" thickBot="1" x14ac:dyDescent="0.3">
      <c r="A9" s="3"/>
      <c r="B9" s="103" t="s">
        <v>3</v>
      </c>
      <c r="C9" s="104"/>
      <c r="D9" s="104"/>
      <c r="E9" s="126"/>
      <c r="F9" s="126"/>
      <c r="G9" s="126"/>
      <c r="H9" s="104"/>
      <c r="I9" s="105"/>
      <c r="J9" s="4"/>
    </row>
    <row r="10" spans="1:10" x14ac:dyDescent="0.25">
      <c r="A10" s="9"/>
      <c r="B10" s="83" t="s">
        <v>97</v>
      </c>
      <c r="C10" s="83"/>
      <c r="D10" s="141"/>
      <c r="E10" s="142"/>
      <c r="F10" s="83" t="s">
        <v>98</v>
      </c>
      <c r="G10" s="83"/>
      <c r="H10" s="141"/>
      <c r="I10" s="142"/>
      <c r="J10" s="10"/>
    </row>
    <row r="11" spans="1:10" x14ac:dyDescent="0.25">
      <c r="A11" s="3"/>
      <c r="B11" s="83" t="s">
        <v>5</v>
      </c>
      <c r="C11" s="83"/>
      <c r="D11" s="87"/>
      <c r="E11" s="87"/>
      <c r="F11" s="83" t="s">
        <v>5</v>
      </c>
      <c r="G11" s="83"/>
      <c r="H11" s="132"/>
      <c r="I11" s="133"/>
      <c r="J11" s="4"/>
    </row>
    <row r="12" spans="1:10" x14ac:dyDescent="0.25">
      <c r="A12" s="3"/>
      <c r="B12" s="85" t="s">
        <v>4</v>
      </c>
      <c r="C12" s="86"/>
      <c r="D12" s="131">
        <f>'Rekentool contract 1'!H12</f>
        <v>41666.666666666672</v>
      </c>
      <c r="E12" s="87"/>
      <c r="F12" s="85" t="s">
        <v>4</v>
      </c>
      <c r="G12" s="86"/>
      <c r="H12" s="130">
        <f>'Rekentool contract 2'!H12</f>
        <v>47784</v>
      </c>
      <c r="I12" s="131"/>
      <c r="J12" s="4"/>
    </row>
    <row r="13" spans="1:10" x14ac:dyDescent="0.25">
      <c r="A13" s="3"/>
      <c r="B13" s="85" t="s">
        <v>6</v>
      </c>
      <c r="C13" s="86"/>
      <c r="D13" s="87">
        <f>D12*0.08</f>
        <v>3333.3333333333339</v>
      </c>
      <c r="E13" s="87"/>
      <c r="F13" s="85" t="s">
        <v>6</v>
      </c>
      <c r="G13" s="86"/>
      <c r="H13" s="130">
        <f>H12*0.08</f>
        <v>3822.7200000000003</v>
      </c>
      <c r="I13" s="131"/>
      <c r="J13" s="4"/>
    </row>
    <row r="14" spans="1:10" x14ac:dyDescent="0.25">
      <c r="A14" s="9"/>
      <c r="B14" s="85"/>
      <c r="C14" s="85"/>
      <c r="D14" s="39"/>
      <c r="E14" s="39"/>
      <c r="F14" s="85"/>
      <c r="G14" s="85"/>
      <c r="H14" s="130"/>
      <c r="I14" s="131"/>
      <c r="J14" s="10"/>
    </row>
    <row r="15" spans="1:10" x14ac:dyDescent="0.25">
      <c r="A15" s="9"/>
      <c r="B15" s="83" t="s">
        <v>92</v>
      </c>
      <c r="C15" s="83"/>
      <c r="D15" s="40"/>
      <c r="E15" s="40"/>
      <c r="F15" s="83" t="s">
        <v>92</v>
      </c>
      <c r="G15" s="83"/>
      <c r="H15" s="180"/>
      <c r="I15" s="181"/>
      <c r="J15" s="10"/>
    </row>
    <row r="16" spans="1:10" x14ac:dyDescent="0.25">
      <c r="A16" s="9"/>
      <c r="B16" s="18" t="s">
        <v>100</v>
      </c>
      <c r="C16" s="19"/>
      <c r="D16" s="39" cm="1">
        <f t="array" ref="D16:E16">'Rekentool contract 1'!D33:E33</f>
        <v>923.5</v>
      </c>
      <c r="E16" s="39">
        <v>0</v>
      </c>
      <c r="F16" s="18" t="s">
        <v>100</v>
      </c>
      <c r="G16" s="19"/>
      <c r="H16" s="101">
        <f>'Rekentool contract 2'!D33</f>
        <v>632.70000000000005</v>
      </c>
      <c r="I16" s="102"/>
      <c r="J16" s="10"/>
    </row>
    <row r="17" spans="1:10" x14ac:dyDescent="0.25">
      <c r="A17" s="9"/>
      <c r="B17" s="178" t="s">
        <v>101</v>
      </c>
      <c r="C17" s="179"/>
      <c r="D17" s="39">
        <f>'Rekentool contract 1'!D53</f>
        <v>1297.2</v>
      </c>
      <c r="E17" s="39"/>
      <c r="F17" s="178" t="s">
        <v>101</v>
      </c>
      <c r="G17" s="179"/>
      <c r="H17" s="37">
        <f>'Rekentool contract 2'!D53</f>
        <v>1297.2</v>
      </c>
      <c r="I17" s="44"/>
      <c r="J17" s="10"/>
    </row>
    <row r="18" spans="1:10" x14ac:dyDescent="0.25">
      <c r="A18" s="9"/>
      <c r="B18" s="178" t="s">
        <v>105</v>
      </c>
      <c r="C18" s="179"/>
      <c r="D18" s="131">
        <f>'Rekentool contract 1'!D47</f>
        <v>750</v>
      </c>
      <c r="E18" s="87"/>
      <c r="F18" s="178" t="s">
        <v>105</v>
      </c>
      <c r="G18" s="179"/>
      <c r="H18" s="132">
        <f>'Rekentool contract 2'!D47</f>
        <v>750</v>
      </c>
      <c r="I18" s="133"/>
      <c r="J18" s="10"/>
    </row>
    <row r="19" spans="1:10" x14ac:dyDescent="0.25">
      <c r="A19" s="9"/>
      <c r="B19" s="18" t="s">
        <v>102</v>
      </c>
      <c r="C19" s="19"/>
      <c r="D19" s="42" cm="1">
        <f t="array" ref="D19:E19">'Rekentool contract 1'!H45:I45</f>
        <v>252</v>
      </c>
      <c r="E19" s="39">
        <v>0</v>
      </c>
      <c r="F19" s="18" t="s">
        <v>102</v>
      </c>
      <c r="G19" s="19"/>
      <c r="H19" s="101">
        <f>'Rekentool contract 2'!H45</f>
        <v>252</v>
      </c>
      <c r="I19" s="102"/>
      <c r="J19" s="10"/>
    </row>
    <row r="20" spans="1:10" x14ac:dyDescent="0.25">
      <c r="A20" s="9"/>
      <c r="B20" s="18" t="s">
        <v>103</v>
      </c>
      <c r="C20" s="19"/>
      <c r="D20" s="42" cm="1">
        <f t="array" ref="D20:E20">'Rekentool contract 1'!H31:I31</f>
        <v>166.5</v>
      </c>
      <c r="E20" s="39">
        <v>0</v>
      </c>
      <c r="F20" s="18" t="s">
        <v>103</v>
      </c>
      <c r="G20" s="19"/>
      <c r="H20" s="132">
        <f>'Rekentool contract 2'!H31</f>
        <v>166.5</v>
      </c>
      <c r="I20" s="133"/>
      <c r="J20" s="10"/>
    </row>
    <row r="21" spans="1:10" x14ac:dyDescent="0.25">
      <c r="A21" s="9"/>
      <c r="B21" s="18" t="s">
        <v>104</v>
      </c>
      <c r="C21" s="19"/>
      <c r="D21" s="42" cm="1">
        <f t="array" ref="D21:E21">'Rekentool contract 1'!H38:I38</f>
        <v>105</v>
      </c>
      <c r="E21" s="39">
        <v>0</v>
      </c>
      <c r="F21" s="18" t="s">
        <v>104</v>
      </c>
      <c r="G21" s="19"/>
      <c r="H21" s="101">
        <f>'Rekentool contract 2'!H38</f>
        <v>105</v>
      </c>
      <c r="I21" s="102"/>
      <c r="J21" s="10"/>
    </row>
    <row r="22" spans="1:10" x14ac:dyDescent="0.25">
      <c r="A22" s="9"/>
      <c r="B22" s="18" t="s">
        <v>113</v>
      </c>
      <c r="C22" s="19"/>
      <c r="D22" s="42">
        <f>'Rekentool contract 1'!H51</f>
        <v>957.44680851063833</v>
      </c>
      <c r="E22" s="39"/>
      <c r="F22" s="18" t="s">
        <v>113</v>
      </c>
      <c r="G22" s="19"/>
      <c r="H22" s="37">
        <f>'Rekentool contract 2'!H51</f>
        <v>1098.0153191489362</v>
      </c>
      <c r="I22" s="44"/>
      <c r="J22" s="10"/>
    </row>
    <row r="23" spans="1:10" x14ac:dyDescent="0.25">
      <c r="A23" s="3"/>
      <c r="B23" s="178" t="s">
        <v>106</v>
      </c>
      <c r="C23" s="179"/>
      <c r="D23" s="183">
        <f>'Rekentool contract 1'!D40</f>
        <v>17</v>
      </c>
      <c r="E23" s="182"/>
      <c r="F23" s="178" t="s">
        <v>106</v>
      </c>
      <c r="G23" s="179"/>
      <c r="H23" s="132">
        <f>'Rekentool contract 2'!D40</f>
        <v>17</v>
      </c>
      <c r="I23" s="133"/>
      <c r="J23" s="4"/>
    </row>
    <row r="24" spans="1:10" x14ac:dyDescent="0.25">
      <c r="A24" s="9"/>
      <c r="B24" s="95" t="s">
        <v>99</v>
      </c>
      <c r="C24" s="96"/>
      <c r="D24" s="131">
        <f>'Rekentool contract 1'!H54</f>
        <v>450</v>
      </c>
      <c r="E24" s="87"/>
      <c r="F24" s="95" t="s">
        <v>99</v>
      </c>
      <c r="G24" s="96"/>
      <c r="H24" s="132">
        <f>'Rekentool contract 2'!H54</f>
        <v>516.06719999999996</v>
      </c>
      <c r="I24" s="133"/>
      <c r="J24" s="10"/>
    </row>
    <row r="25" spans="1:10" x14ac:dyDescent="0.25">
      <c r="A25" s="9"/>
      <c r="B25" s="18" t="s">
        <v>114</v>
      </c>
      <c r="C25" s="19"/>
      <c r="D25" s="74">
        <f>'Rekentool contract 1'!D59</f>
        <v>180</v>
      </c>
      <c r="E25" s="41"/>
      <c r="F25" s="18" t="s">
        <v>114</v>
      </c>
      <c r="G25" s="19"/>
      <c r="H25" s="69">
        <f>'Rekentool contract 2'!D59</f>
        <v>180</v>
      </c>
      <c r="I25" s="70"/>
      <c r="J25" s="10"/>
    </row>
    <row r="26" spans="1:10" x14ac:dyDescent="0.25">
      <c r="A26" s="9"/>
      <c r="B26" s="18"/>
      <c r="C26" s="19"/>
      <c r="D26" s="74"/>
      <c r="E26" s="41"/>
      <c r="F26" s="18"/>
      <c r="G26" s="19"/>
      <c r="H26" s="69"/>
      <c r="I26" s="70"/>
      <c r="J26" s="10"/>
    </row>
    <row r="27" spans="1:10" x14ac:dyDescent="0.25">
      <c r="A27" s="9"/>
      <c r="B27" s="18" t="s">
        <v>108</v>
      </c>
      <c r="C27" s="19"/>
      <c r="D27" s="74" cm="1">
        <f t="array" ref="D27:E27">'Rekentool contract 1'!D70:E70</f>
        <v>5098.646808510638</v>
      </c>
      <c r="E27" s="41">
        <v>0</v>
      </c>
      <c r="F27" s="18" t="s">
        <v>108</v>
      </c>
      <c r="G27" s="19"/>
      <c r="H27" s="69">
        <f>SUM(H16:I25)</f>
        <v>5014.4825191489363</v>
      </c>
      <c r="I27" s="70"/>
      <c r="J27" s="10"/>
    </row>
    <row r="28" spans="1:10" x14ac:dyDescent="0.25">
      <c r="A28" s="9"/>
      <c r="B28" s="18"/>
      <c r="C28" s="19"/>
      <c r="D28" s="41"/>
      <c r="E28" s="41"/>
      <c r="F28" s="18"/>
      <c r="G28" s="19"/>
      <c r="H28" s="69"/>
      <c r="I28" s="70"/>
      <c r="J28" s="10"/>
    </row>
    <row r="29" spans="1:10" x14ac:dyDescent="0.25">
      <c r="A29" s="3"/>
      <c r="B29" s="77" t="s">
        <v>107</v>
      </c>
      <c r="C29" s="77"/>
      <c r="D29" s="39"/>
      <c r="E29" s="39"/>
      <c r="F29" s="77" t="s">
        <v>107</v>
      </c>
      <c r="G29" s="77"/>
      <c r="H29" s="131"/>
      <c r="I29" s="131"/>
      <c r="J29" s="4"/>
    </row>
    <row r="30" spans="1:10" x14ac:dyDescent="0.25">
      <c r="A30" s="9"/>
      <c r="B30" s="18" t="s">
        <v>100</v>
      </c>
      <c r="C30" s="19"/>
      <c r="D30" s="39" cm="1">
        <f t="array" ref="D30:E30">'Rekentool contract 1'!D32:E32</f>
        <v>2770.5</v>
      </c>
      <c r="E30" s="39">
        <v>0</v>
      </c>
      <c r="F30" s="18" t="s">
        <v>100</v>
      </c>
      <c r="G30" s="19"/>
      <c r="H30" s="130">
        <f>'Rekentool contract 2'!D32</f>
        <v>3067.2999999999997</v>
      </c>
      <c r="I30" s="131"/>
      <c r="J30" s="10"/>
    </row>
    <row r="31" spans="1:10" x14ac:dyDescent="0.25">
      <c r="A31" s="9"/>
      <c r="B31" s="178" t="s">
        <v>105</v>
      </c>
      <c r="C31" s="179"/>
      <c r="D31" s="131">
        <f>'Rekentool contract 1'!D46</f>
        <v>0</v>
      </c>
      <c r="E31" s="87"/>
      <c r="F31" s="178" t="s">
        <v>105</v>
      </c>
      <c r="G31" s="179"/>
      <c r="H31" s="132">
        <f>'Rekentool contract 2'!D46</f>
        <v>0</v>
      </c>
      <c r="I31" s="133"/>
      <c r="J31" s="10"/>
    </row>
    <row r="32" spans="1:10" x14ac:dyDescent="0.25">
      <c r="A32" s="3"/>
      <c r="B32" s="18" t="s">
        <v>102</v>
      </c>
      <c r="C32" s="19"/>
      <c r="D32" s="42" cm="1">
        <f t="array" ref="D32:E32">'Rekentool contract 1'!H44:I44</f>
        <v>0</v>
      </c>
      <c r="E32" s="39">
        <v>0</v>
      </c>
      <c r="F32" s="18" t="s">
        <v>102</v>
      </c>
      <c r="G32" s="19"/>
      <c r="H32" s="130">
        <f>'Rekentool contract 2'!H44</f>
        <v>0</v>
      </c>
      <c r="I32" s="131"/>
      <c r="J32" s="4"/>
    </row>
    <row r="33" spans="1:13" x14ac:dyDescent="0.25">
      <c r="A33" s="3"/>
      <c r="B33" s="18" t="s">
        <v>103</v>
      </c>
      <c r="C33" s="19"/>
      <c r="D33" s="42" cm="1">
        <f t="array" ref="D33:E33">'Rekentool contract 1'!H30:I30</f>
        <v>166.5</v>
      </c>
      <c r="E33" s="39">
        <v>0</v>
      </c>
      <c r="F33" s="18" t="s">
        <v>103</v>
      </c>
      <c r="G33" s="19"/>
      <c r="H33" s="132">
        <f>'Rekentool contract 2'!H30</f>
        <v>166.5</v>
      </c>
      <c r="I33" s="133"/>
      <c r="J33" s="4"/>
    </row>
    <row r="34" spans="1:13" x14ac:dyDescent="0.25">
      <c r="A34" s="3"/>
      <c r="B34" s="18" t="s">
        <v>104</v>
      </c>
      <c r="C34" s="19"/>
      <c r="D34" s="42" cm="1">
        <f t="array" ref="D34:E34">'Rekentool contract 1'!H37:I37</f>
        <v>0</v>
      </c>
      <c r="E34" s="39">
        <v>0</v>
      </c>
      <c r="F34" s="18" t="s">
        <v>104</v>
      </c>
      <c r="G34" s="19"/>
      <c r="H34" s="130">
        <f>'Rekentool contract 2'!H37</f>
        <v>0</v>
      </c>
      <c r="I34" s="131"/>
      <c r="J34" s="4"/>
    </row>
    <row r="35" spans="1:13" x14ac:dyDescent="0.25">
      <c r="A35" s="9"/>
      <c r="B35" s="178" t="s">
        <v>106</v>
      </c>
      <c r="C35" s="179"/>
      <c r="D35" s="131">
        <f>'Rekentool contract 1'!D39</f>
        <v>0</v>
      </c>
      <c r="E35" s="87"/>
      <c r="F35" s="178" t="s">
        <v>106</v>
      </c>
      <c r="G35" s="179"/>
      <c r="H35" s="132">
        <f>'Rekentool contract 2'!D39</f>
        <v>0</v>
      </c>
      <c r="I35" s="133"/>
      <c r="J35" s="10"/>
    </row>
    <row r="36" spans="1:13" x14ac:dyDescent="0.25">
      <c r="A36" s="9"/>
      <c r="B36" s="18"/>
      <c r="C36" s="19"/>
      <c r="D36" s="39"/>
      <c r="E36" s="39"/>
      <c r="F36" s="18"/>
      <c r="G36" s="19"/>
      <c r="H36" s="43"/>
      <c r="I36" s="44"/>
      <c r="J36" s="10"/>
    </row>
    <row r="37" spans="1:13" x14ac:dyDescent="0.25">
      <c r="A37" s="9"/>
      <c r="B37" s="18" t="s">
        <v>108</v>
      </c>
      <c r="C37" s="19"/>
      <c r="D37" s="39">
        <f>SUM(D30:E35)</f>
        <v>2937</v>
      </c>
      <c r="E37" s="39"/>
      <c r="F37" s="18" t="s">
        <v>108</v>
      </c>
      <c r="G37" s="19"/>
      <c r="H37" s="43">
        <f>SUM(H30:I35)</f>
        <v>3233.7999999999997</v>
      </c>
      <c r="I37" s="44"/>
      <c r="J37" s="10"/>
    </row>
    <row r="38" spans="1:13" x14ac:dyDescent="0.25">
      <c r="A38" s="9"/>
      <c r="B38" s="18"/>
      <c r="C38" s="19"/>
      <c r="D38" s="39"/>
      <c r="E38" s="39"/>
      <c r="F38" s="18"/>
      <c r="G38" s="19"/>
      <c r="H38" s="43"/>
      <c r="I38" s="44"/>
      <c r="J38" s="10"/>
    </row>
    <row r="39" spans="1:13" ht="16.5" thickBot="1" x14ac:dyDescent="0.3">
      <c r="A39" s="9"/>
      <c r="B39" s="77" t="s">
        <v>109</v>
      </c>
      <c r="C39" s="77"/>
      <c r="D39" s="39"/>
      <c r="E39" s="39"/>
      <c r="F39" s="77" t="s">
        <v>109</v>
      </c>
      <c r="G39" s="77"/>
      <c r="H39" s="43"/>
      <c r="I39" s="44"/>
      <c r="J39" s="10"/>
    </row>
    <row r="40" spans="1:13" x14ac:dyDescent="0.25">
      <c r="A40" s="9"/>
      <c r="B40" s="18" t="s">
        <v>110</v>
      </c>
      <c r="C40" s="19"/>
      <c r="D40" s="71"/>
      <c r="E40" s="39"/>
      <c r="F40" s="18" t="s">
        <v>110</v>
      </c>
      <c r="G40" s="19"/>
      <c r="H40" s="72"/>
      <c r="I40" s="73"/>
      <c r="J40" s="31"/>
      <c r="K40" s="143" t="s">
        <v>115</v>
      </c>
      <c r="L40" s="144"/>
      <c r="M40" s="145"/>
    </row>
    <row r="41" spans="1:13" ht="16.5" thickBot="1" x14ac:dyDescent="0.3">
      <c r="A41" s="9"/>
      <c r="B41" s="18" t="s">
        <v>111</v>
      </c>
      <c r="C41" s="19"/>
      <c r="D41" s="71"/>
      <c r="E41" s="39"/>
      <c r="F41" s="18" t="s">
        <v>111</v>
      </c>
      <c r="G41" s="19"/>
      <c r="H41" s="72"/>
      <c r="I41" s="73"/>
      <c r="J41" s="31"/>
      <c r="K41" s="175" t="s">
        <v>116</v>
      </c>
      <c r="L41" s="176"/>
      <c r="M41" s="177"/>
    </row>
    <row r="42" spans="1:13" x14ac:dyDescent="0.25">
      <c r="A42" s="9"/>
      <c r="B42" s="18"/>
      <c r="C42" s="19"/>
      <c r="D42" s="39"/>
      <c r="E42" s="39"/>
      <c r="F42" s="18"/>
      <c r="G42" s="19"/>
      <c r="H42" s="93"/>
      <c r="I42" s="94"/>
      <c r="J42" s="10"/>
    </row>
    <row r="43" spans="1:13" x14ac:dyDescent="0.25">
      <c r="A43" s="9"/>
      <c r="B43" s="77" t="s">
        <v>5</v>
      </c>
      <c r="C43" s="78"/>
      <c r="D43" s="87"/>
      <c r="E43" s="87"/>
      <c r="F43" s="77" t="s">
        <v>5</v>
      </c>
      <c r="G43" s="77"/>
      <c r="H43" s="87"/>
      <c r="I43" s="87"/>
      <c r="J43" s="10"/>
    </row>
    <row r="44" spans="1:13" x14ac:dyDescent="0.25">
      <c r="A44" s="9"/>
      <c r="B44" s="85" t="s">
        <v>7</v>
      </c>
      <c r="C44" s="85"/>
      <c r="D44" s="131">
        <f>D12+D13</f>
        <v>45000.000000000007</v>
      </c>
      <c r="E44" s="87"/>
      <c r="F44" s="85" t="s">
        <v>7</v>
      </c>
      <c r="G44" s="85"/>
      <c r="H44" s="131">
        <f>H12+H13</f>
        <v>51606.720000000001</v>
      </c>
      <c r="I44" s="87"/>
      <c r="J44" s="10"/>
    </row>
    <row r="45" spans="1:13" x14ac:dyDescent="0.25">
      <c r="A45" s="9"/>
      <c r="B45" s="85" t="s">
        <v>112</v>
      </c>
      <c r="C45" s="85"/>
      <c r="D45" s="131">
        <f>D37</f>
        <v>2937</v>
      </c>
      <c r="E45" s="87"/>
      <c r="F45" s="85" t="s">
        <v>112</v>
      </c>
      <c r="G45" s="85"/>
      <c r="H45" s="131">
        <f>H37</f>
        <v>3233.7999999999997</v>
      </c>
      <c r="I45" s="87"/>
      <c r="J45" s="10"/>
    </row>
    <row r="46" spans="1:13" x14ac:dyDescent="0.25">
      <c r="A46" s="9"/>
      <c r="B46" s="85" t="s">
        <v>81</v>
      </c>
      <c r="C46" s="85"/>
      <c r="D46" s="131">
        <f>D27</f>
        <v>5098.646808510638</v>
      </c>
      <c r="E46" s="87"/>
      <c r="F46" s="85" t="s">
        <v>81</v>
      </c>
      <c r="G46" s="85"/>
      <c r="H46" s="131">
        <f>H27</f>
        <v>5014.4825191489363</v>
      </c>
      <c r="I46" s="87"/>
      <c r="J46" s="10"/>
    </row>
    <row r="47" spans="1:13" x14ac:dyDescent="0.25">
      <c r="A47" s="3"/>
      <c r="B47" s="112"/>
      <c r="C47" s="113"/>
      <c r="D47" s="87"/>
      <c r="E47" s="87"/>
      <c r="F47" s="138"/>
      <c r="G47" s="138"/>
      <c r="H47" s="182"/>
      <c r="I47" s="182"/>
      <c r="J47" s="4"/>
    </row>
    <row r="48" spans="1:13" ht="16.5" thickBot="1" x14ac:dyDescent="0.3">
      <c r="A48" s="5"/>
      <c r="B48" s="6"/>
      <c r="C48" s="6"/>
      <c r="D48" s="6"/>
      <c r="E48" s="6"/>
      <c r="F48" s="6"/>
      <c r="G48" s="31"/>
      <c r="H48" s="31"/>
      <c r="I48" s="31"/>
      <c r="J48" s="7"/>
    </row>
    <row r="49" spans="7:9" x14ac:dyDescent="0.25">
      <c r="G49" s="143" t="s">
        <v>51</v>
      </c>
      <c r="H49" s="144"/>
      <c r="I49" s="145"/>
    </row>
    <row r="50" spans="7:9" ht="16.5" thickBot="1" x14ac:dyDescent="0.3">
      <c r="G50" s="146" t="str">
        <f>HYPERLINK("https://fysiovakbond.nl/wp-content/uploads/2025/06/Factsheet-arbeidsvoorwaarden-vergelijken-Salarisonderzoek-2024.pdf", "Arbeidsvoorwaarden vergelijken Salarisonderzoek 2024")</f>
        <v>Arbeidsvoorwaarden vergelijken Salarisonderzoek 2024</v>
      </c>
      <c r="H50" s="147"/>
      <c r="I50" s="148"/>
    </row>
    <row r="51" spans="7:9" x14ac:dyDescent="0.25">
      <c r="G51" s="143" t="s">
        <v>52</v>
      </c>
      <c r="H51" s="144"/>
      <c r="I51" s="145"/>
    </row>
    <row r="52" spans="7:9" ht="16.5" thickBot="1" x14ac:dyDescent="0.3">
      <c r="G52" s="149" t="str">
        <f>HYPERLINK("https://fysiovakbond.nl/wp-content/uploads/2025/06/Fysiovakbond-FDV-Arbeidsvoorwaarden-in-de-eerstelijns-fysiotherapie-2024.pdf", "Arbeidsvoorwaarden eerstelijnsfysiotherapie 2024")</f>
        <v>Arbeidsvoorwaarden eerstelijnsfysiotherapie 2024</v>
      </c>
      <c r="H52" s="150"/>
      <c r="I52" s="151"/>
    </row>
  </sheetData>
  <mergeCells count="96">
    <mergeCell ref="B7:I7"/>
    <mergeCell ref="B5:D5"/>
    <mergeCell ref="E5:G5"/>
    <mergeCell ref="B6:D6"/>
    <mergeCell ref="E6:G6"/>
    <mergeCell ref="G49:I49"/>
    <mergeCell ref="B46:C46"/>
    <mergeCell ref="D46:E46"/>
    <mergeCell ref="B44:C44"/>
    <mergeCell ref="D44:E44"/>
    <mergeCell ref="B35:C35"/>
    <mergeCell ref="D35:E35"/>
    <mergeCell ref="B31:C31"/>
    <mergeCell ref="D31:E31"/>
    <mergeCell ref="B23:C23"/>
    <mergeCell ref="D23:E23"/>
    <mergeCell ref="F23:G23"/>
    <mergeCell ref="B2:I2"/>
    <mergeCell ref="B3:D3"/>
    <mergeCell ref="E3:G3"/>
    <mergeCell ref="B4:D4"/>
    <mergeCell ref="E4:G4"/>
    <mergeCell ref="B8:I8"/>
    <mergeCell ref="B9:I9"/>
    <mergeCell ref="B10:C10"/>
    <mergeCell ref="D10:E10"/>
    <mergeCell ref="F10:G10"/>
    <mergeCell ref="H10:I10"/>
    <mergeCell ref="F13:G13"/>
    <mergeCell ref="H13:I13"/>
    <mergeCell ref="F11:G11"/>
    <mergeCell ref="H11:I11"/>
    <mergeCell ref="B12:C12"/>
    <mergeCell ref="D12:E12"/>
    <mergeCell ref="F12:G12"/>
    <mergeCell ref="H12:I12"/>
    <mergeCell ref="B13:C13"/>
    <mergeCell ref="D13:E13"/>
    <mergeCell ref="B11:C11"/>
    <mergeCell ref="D11:E11"/>
    <mergeCell ref="B43:C43"/>
    <mergeCell ref="D43:E43"/>
    <mergeCell ref="F43:G43"/>
    <mergeCell ref="H43:I43"/>
    <mergeCell ref="H34:I34"/>
    <mergeCell ref="B47:C47"/>
    <mergeCell ref="D47:E47"/>
    <mergeCell ref="F47:G47"/>
    <mergeCell ref="H47:I47"/>
    <mergeCell ref="B45:C45"/>
    <mergeCell ref="D45:E45"/>
    <mergeCell ref="F45:G45"/>
    <mergeCell ref="H45:I45"/>
    <mergeCell ref="G50:I50"/>
    <mergeCell ref="G51:I51"/>
    <mergeCell ref="G52:I52"/>
    <mergeCell ref="F15:G15"/>
    <mergeCell ref="F14:G14"/>
    <mergeCell ref="F18:G18"/>
    <mergeCell ref="H14:I14"/>
    <mergeCell ref="H15:I15"/>
    <mergeCell ref="H16:I16"/>
    <mergeCell ref="F44:G44"/>
    <mergeCell ref="H44:I44"/>
    <mergeCell ref="F35:G35"/>
    <mergeCell ref="H35:I35"/>
    <mergeCell ref="H29:I29"/>
    <mergeCell ref="H30:I30"/>
    <mergeCell ref="H18:I18"/>
    <mergeCell ref="B14:C14"/>
    <mergeCell ref="B17:C17"/>
    <mergeCell ref="F17:G17"/>
    <mergeCell ref="B29:C29"/>
    <mergeCell ref="F29:G29"/>
    <mergeCell ref="B18:C18"/>
    <mergeCell ref="D18:E18"/>
    <mergeCell ref="H32:I32"/>
    <mergeCell ref="H33:I33"/>
    <mergeCell ref="B39:C39"/>
    <mergeCell ref="F39:G39"/>
    <mergeCell ref="B15:C15"/>
    <mergeCell ref="H19:I19"/>
    <mergeCell ref="H20:I20"/>
    <mergeCell ref="H23:I23"/>
    <mergeCell ref="H21:I21"/>
    <mergeCell ref="B24:C24"/>
    <mergeCell ref="D24:E24"/>
    <mergeCell ref="F24:G24"/>
    <mergeCell ref="H24:I24"/>
    <mergeCell ref="F31:G31"/>
    <mergeCell ref="H31:I31"/>
    <mergeCell ref="K40:M40"/>
    <mergeCell ref="K41:M41"/>
    <mergeCell ref="F46:G46"/>
    <mergeCell ref="H46:I46"/>
    <mergeCell ref="H42:I42"/>
  </mergeCells>
  <hyperlinks>
    <hyperlink ref="E6" r:id="rId1" display="https://fysiovakbond.nl/cao/salaristabel-per-1-1-25-volgens-de-concept-cao-eerstelijns-fysiotherapie/ " xr:uid="{F3B4E554-DCCD-4301-964A-540D84C3738C}"/>
    <hyperlink ref="G52" r:id="rId2" display="https://fysiovakbond.nl/cao/salaristabel-per-1-1-25-volgens-de-concept-cao-eerstelijns-fysiotherapie/ " xr:uid="{09D759AD-883E-4EDE-B24E-CEBA7175EF7A}"/>
  </hyperlinks>
  <pageMargins left="0.7" right="0.7" top="0.75" bottom="0.75" header="0.3" footer="0.3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F1000"/>
  <sheetViews>
    <sheetView topLeftCell="A6" workbookViewId="0">
      <selection activeCell="B14" sqref="B14"/>
    </sheetView>
  </sheetViews>
  <sheetFormatPr defaultColWidth="11.25" defaultRowHeight="15" customHeight="1" x14ac:dyDescent="0.25"/>
  <cols>
    <col min="1" max="1" width="8.75" customWidth="1"/>
    <col min="2" max="2" width="37.5" customWidth="1"/>
    <col min="3" max="3" width="84.375" customWidth="1"/>
    <col min="4" max="4" width="22.75" customWidth="1"/>
    <col min="5" max="5" width="31.125" customWidth="1"/>
    <col min="6" max="26" width="8.75" customWidth="1"/>
  </cols>
  <sheetData>
    <row r="1" spans="2:6" ht="15.75" customHeight="1" x14ac:dyDescent="0.25">
      <c r="B1" s="8" t="s">
        <v>35</v>
      </c>
      <c r="C1" t="s">
        <v>38</v>
      </c>
      <c r="E1" t="s">
        <v>44</v>
      </c>
    </row>
    <row r="2" spans="2:6" ht="15.75" customHeight="1" x14ac:dyDescent="0.25">
      <c r="B2" s="16" t="s">
        <v>34</v>
      </c>
      <c r="C2" s="13" t="s">
        <v>0</v>
      </c>
      <c r="D2" s="14"/>
      <c r="E2" s="11" t="s">
        <v>10</v>
      </c>
      <c r="F2" s="12"/>
    </row>
    <row r="3" spans="2:6" ht="15.75" customHeight="1" x14ac:dyDescent="0.25">
      <c r="B3" s="8" t="s">
        <v>36</v>
      </c>
      <c r="C3" s="11" t="s">
        <v>2</v>
      </c>
      <c r="D3" s="12"/>
      <c r="E3" s="11" t="s">
        <v>9</v>
      </c>
      <c r="F3" s="12"/>
    </row>
    <row r="4" spans="2:6" ht="15.75" customHeight="1" x14ac:dyDescent="0.25">
      <c r="B4" s="8"/>
      <c r="C4" s="11" t="s">
        <v>1</v>
      </c>
      <c r="D4" s="12"/>
      <c r="E4" s="11" t="s">
        <v>11</v>
      </c>
      <c r="F4" s="12"/>
    </row>
    <row r="5" spans="2:6" ht="15.75" customHeight="1" x14ac:dyDescent="0.25">
      <c r="B5" s="8"/>
      <c r="C5" s="15" t="s">
        <v>40</v>
      </c>
      <c r="D5" s="29"/>
      <c r="E5" s="8"/>
    </row>
    <row r="6" spans="2:6" ht="15.75" customHeight="1" x14ac:dyDescent="0.25">
      <c r="B6" s="8"/>
      <c r="C6" s="18" t="s">
        <v>41</v>
      </c>
      <c r="D6" s="19"/>
      <c r="E6" s="8"/>
    </row>
    <row r="7" spans="2:6" ht="15.75" customHeight="1" x14ac:dyDescent="0.25">
      <c r="B7" s="8"/>
      <c r="D7" s="8"/>
      <c r="E7" s="8"/>
    </row>
    <row r="8" spans="2:6" ht="15.75" customHeight="1" x14ac:dyDescent="0.25">
      <c r="B8" s="8" t="s">
        <v>45</v>
      </c>
      <c r="C8" s="8"/>
      <c r="D8" s="8"/>
      <c r="E8" s="8"/>
    </row>
    <row r="9" spans="2:6" ht="15.75" customHeight="1" x14ac:dyDescent="0.25">
      <c r="B9" s="11" t="s">
        <v>13</v>
      </c>
      <c r="C9" s="12"/>
      <c r="D9" s="8"/>
      <c r="E9" s="8"/>
    </row>
    <row r="10" spans="2:6" ht="15.75" customHeight="1" x14ac:dyDescent="0.25">
      <c r="B10" s="11" t="s">
        <v>14</v>
      </c>
      <c r="C10" s="12"/>
      <c r="D10" s="8"/>
      <c r="E10" s="8"/>
    </row>
    <row r="11" spans="2:6" ht="15.75" customHeight="1" x14ac:dyDescent="0.25">
      <c r="B11" s="11" t="s">
        <v>12</v>
      </c>
      <c r="C11" s="12"/>
      <c r="D11" s="8"/>
      <c r="E11" s="8"/>
    </row>
    <row r="12" spans="2:6" ht="15.75" customHeight="1" x14ac:dyDescent="0.25">
      <c r="B12" s="8"/>
      <c r="C12" s="8"/>
      <c r="D12" s="8"/>
      <c r="E12" s="8"/>
    </row>
    <row r="13" spans="2:6" ht="15.75" customHeight="1" x14ac:dyDescent="0.25">
      <c r="B13" s="30" t="s">
        <v>87</v>
      </c>
      <c r="C13" s="8"/>
      <c r="D13" s="8"/>
      <c r="E13" s="8"/>
    </row>
    <row r="14" spans="2:6" ht="15.75" customHeight="1" x14ac:dyDescent="0.25">
      <c r="B14" s="11" t="s">
        <v>88</v>
      </c>
      <c r="C14" s="12"/>
      <c r="D14" s="8"/>
    </row>
    <row r="15" spans="2:6" ht="15.75" customHeight="1" x14ac:dyDescent="0.25">
      <c r="B15" s="11"/>
      <c r="C15" s="12"/>
      <c r="D15" s="8"/>
    </row>
    <row r="16" spans="2:6" ht="15.75" customHeight="1" x14ac:dyDescent="0.25">
      <c r="C16" s="8"/>
      <c r="D16" s="8"/>
    </row>
    <row r="17" spans="2:4" ht="15.75" customHeight="1" x14ac:dyDescent="0.25">
      <c r="B17" s="30"/>
      <c r="C17" s="8"/>
      <c r="D17" s="8"/>
    </row>
    <row r="18" spans="2:4" ht="15.75" customHeight="1" x14ac:dyDescent="0.25">
      <c r="B18" s="11"/>
      <c r="C18" s="12"/>
    </row>
    <row r="19" spans="2:4" ht="15.75" customHeight="1" x14ac:dyDescent="0.25">
      <c r="B19" s="11"/>
      <c r="C19" s="12"/>
    </row>
    <row r="20" spans="2:4" ht="15.75" customHeight="1" x14ac:dyDescent="0.25">
      <c r="C20" s="8"/>
    </row>
    <row r="21" spans="2:4" ht="15.75" customHeight="1" x14ac:dyDescent="0.25">
      <c r="B21" s="30"/>
      <c r="C21" s="8"/>
    </row>
    <row r="22" spans="2:4" ht="15.75" customHeight="1" x14ac:dyDescent="0.25">
      <c r="B22" s="11"/>
      <c r="C22" s="12"/>
    </row>
    <row r="23" spans="2:4" ht="15.75" customHeight="1" x14ac:dyDescent="0.25">
      <c r="B23" s="11"/>
      <c r="C23" s="12"/>
    </row>
    <row r="24" spans="2:4" ht="15.75" customHeight="1" x14ac:dyDescent="0.25">
      <c r="B24" s="30"/>
      <c r="C24" s="8"/>
    </row>
    <row r="25" spans="2:4" ht="15.75" customHeight="1" x14ac:dyDescent="0.25">
      <c r="B25" s="11"/>
      <c r="C25" s="12"/>
    </row>
    <row r="26" spans="2:4" ht="15.75" customHeight="1" x14ac:dyDescent="0.25">
      <c r="B26" s="11"/>
      <c r="C26" s="12"/>
    </row>
    <row r="27" spans="2:4" ht="15.75" customHeight="1" x14ac:dyDescent="0.25">
      <c r="C27" s="8"/>
    </row>
    <row r="28" spans="2:4" ht="15.75" customHeight="1" x14ac:dyDescent="0.25">
      <c r="C28" s="8"/>
    </row>
    <row r="29" spans="2:4" ht="15.75" customHeight="1" x14ac:dyDescent="0.25">
      <c r="B29" s="30" t="s">
        <v>46</v>
      </c>
      <c r="C29" s="8"/>
    </row>
    <row r="30" spans="2:4" ht="15.75" customHeight="1" x14ac:dyDescent="0.25">
      <c r="B30" s="11" t="s">
        <v>18</v>
      </c>
      <c r="C30" s="12"/>
    </row>
    <row r="31" spans="2:4" ht="15.75" customHeight="1" x14ac:dyDescent="0.25">
      <c r="B31" s="11" t="s">
        <v>19</v>
      </c>
      <c r="C31" s="12"/>
    </row>
    <row r="32" spans="2:4" ht="15.75" customHeight="1" x14ac:dyDescent="0.25">
      <c r="C32" s="8"/>
    </row>
    <row r="33" spans="2:3" ht="15.75" customHeight="1" x14ac:dyDescent="0.25">
      <c r="C33" s="8"/>
    </row>
    <row r="34" spans="2:3" ht="15.75" customHeight="1" x14ac:dyDescent="0.25">
      <c r="B34" s="30" t="s">
        <v>17</v>
      </c>
    </row>
    <row r="35" spans="2:3" ht="15.75" customHeight="1" x14ac:dyDescent="0.25">
      <c r="B35" s="30" t="s">
        <v>67</v>
      </c>
    </row>
    <row r="36" spans="2:3" ht="15.75" customHeight="1" x14ac:dyDescent="0.25">
      <c r="B36" s="30"/>
    </row>
    <row r="37" spans="2:3" ht="15.75" customHeight="1" x14ac:dyDescent="0.25">
      <c r="B37" s="30"/>
    </row>
    <row r="38" spans="2:3" ht="15.75" customHeight="1" x14ac:dyDescent="0.25"/>
    <row r="39" spans="2:3" ht="15.75" customHeight="1" x14ac:dyDescent="0.25"/>
    <row r="40" spans="2:3" ht="15.75" customHeight="1" x14ac:dyDescent="0.25"/>
    <row r="41" spans="2:3" ht="15.75" customHeight="1" x14ac:dyDescent="0.25"/>
    <row r="42" spans="2:3" ht="15.75" customHeight="1" x14ac:dyDescent="0.25"/>
    <row r="43" spans="2:3" ht="15.75" customHeight="1" x14ac:dyDescent="0.25"/>
    <row r="44" spans="2:3" ht="15.75" customHeight="1" x14ac:dyDescent="0.25"/>
    <row r="45" spans="2:3" ht="15.75" customHeight="1" x14ac:dyDescent="0.25"/>
    <row r="46" spans="2:3" ht="15.75" customHeight="1" x14ac:dyDescent="0.25"/>
    <row r="47" spans="2:3" ht="15.75" customHeight="1" x14ac:dyDescent="0.25"/>
    <row r="48" spans="2:3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Rekentool contract 1</vt:lpstr>
      <vt:lpstr>Rekentool contract 2</vt:lpstr>
      <vt:lpstr>Vergelijking contract 1 en 2</vt:lpstr>
      <vt:lpstr>Data 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Marije Bosboom</cp:lastModifiedBy>
  <dcterms:created xsi:type="dcterms:W3CDTF">2021-01-24T09:10:12Z</dcterms:created>
  <dcterms:modified xsi:type="dcterms:W3CDTF">2025-09-26T05:58:01Z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0x010100181161FC8A2A024C98D48953B4C6BD36</vt:lpwstr>
  </property>
</Properties>
</file>